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<sst xmlns="http://schemas.openxmlformats.org/spreadsheetml/2006/main" count="419" uniqueCount="336">
  <si>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</si>
  <si>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</si>
  <si>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</si>
  <si>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</si>
  <si>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</si>
  <si>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</si>
  <si>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</si>
  <si>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</si>
  <si>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</si>
  <si>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</si>
  <si>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</si>
  <si>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</si>
  <si>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</si>
  <si>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</si>
  <si>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</si>
  <si>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</si>
  <si>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</si>
  <si>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</si>
  <si>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</si>
  <si>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</si>
  <si>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</si>
  <si>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</si>
  <si>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</si>
  <si>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</si>
  <si>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</si>
  <si>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</si>
  <si>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</si>
  <si>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</si>
  <si>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</si>
  <si>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</si>
  <si>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</si>
  <si>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</si>
  <si>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</si>
  <si>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</si>
  <si>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</si>
  <si>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</si>
  <si>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</si>
  <si>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</si>
  <si>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</si>
  <si>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</si>
  <si>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</si>
  <si>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</si>
  <si>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</si>
  <si>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</si>
  <si>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</si>
  <si>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</si>
  <si>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</si>
  <si>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</si>
  <si>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</si>
  <si>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</si>
  <si>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</si>
  <si>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</si>
  <si>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</si>
  <si>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</si>
  <si>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</si>
  <si>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</si>
  <si>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</si>
  <si>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</si>
  <si>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</si>
  <si>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</si>
  <si>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</si>
  <si>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</si>
  <si>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</si>
  <si>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</si>
  <si>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</si>
  <si>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</si>
  <si>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</si>
  <si>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</si>
  <si>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</si>
  <si>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</si>
  <si>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</si>
  <si>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</si>
  <si>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</si>
  <si>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</si>
  <si>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</si>
  <si>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</si>
  <si>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</si>
  <si>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</si>
  <si>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</si>
  <si>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</si>
  <si>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</si>
  <si>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</si>
  <si>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</si>
  <si>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</si>
  <si>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</si>
  <si>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</si>
  <si>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</si>
  <si>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</si>
  <si>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</si>
  <si>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</si>
  <si>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</si>
  <si>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</si>
  <si>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</si>
  <si>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</si>
  <si>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</si>
  <si>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</si>
  <si>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</si>
  <si>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</si>
  <si>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</si>
  <si>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</si>
  <si>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</si>
  <si>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</si>
  <si>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</si>
  <si>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</si>
  <si>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</si>
  <si>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</si>
  <si>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</si>
  <si>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</si>
  <si>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</si>
  <si>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</si>
  <si>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</si>
  <si>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</si>
  <si>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</si>
  <si>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</si>
  <si>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</si>
  <si>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</si>
  <si>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</si>
  <si>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</si>
  <si>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</si>
  <si>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</si>
  <si>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</si>
  <si>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</si>
  <si>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</si>
  <si>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</si>
  <si>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</si>
  <si>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</si>
  <si>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</si>
  <si>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</si>
  <si>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</si>
  <si>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</si>
  <si>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</si>
  <si>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</si>
  <si>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</si>
  <si>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</si>
  <si>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</si>
  <si>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</si>
  <si>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</si>
  <si>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</si>
  <si>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</si>
  <si>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</si>
  <si>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</si>
  <si>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</si>
  <si>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</si>
  <si>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</si>
  <si>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</si>
  <si>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</si>
  <si>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</si>
  <si>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</si>
  <si>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</si>
  <si>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</si>
  <si>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</si>
  <si>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</si>
  <si>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</si>
  <si>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</si>
  <si>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</si>
  <si>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</si>
  <si>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</si>
  <si>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</si>
  <si>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</si>
  <si>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ЗМІНЕНИЙ ФІНАНСОВИЙ ПЛАН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</si>
  <si>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</si>
  <si>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</si>
  <si>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</si>
  <si>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</si>
  <si>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</si>
  <si>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</si>
  <si>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</si>
  <si>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93.29</t>
  </si>
  <si>
    <t>Організація інших видів відпочинку</t>
  </si>
  <si>
    <t>Комунальна</t>
  </si>
  <si>
    <t>м. Нетішин вул. Шевченка, 1</t>
  </si>
  <si>
    <t>9-15-00</t>
  </si>
  <si>
    <t>ВЛАСЮК Марія Михайлівна</t>
  </si>
  <si>
    <t>Адміністративні витрати, у т. ч.:</t>
  </si>
  <si>
    <t>амортизація основних засобів і нематеріальних активів загально-господарського призначення</t>
  </si>
  <si>
    <t>Інші адміністративні витрати (розшифрувати)</t>
  </si>
  <si>
    <t>Витрати на матеріали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</si>
  <si>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</si>
  <si>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</si>
  <si>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</si>
  <si>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</si>
  <si>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</si>
  <si>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</si>
  <si>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Інформаційне обслуговування  бухгалтерської програми</t>
  </si>
  <si>
    <t>Послуги з перезарядки та відновлення картриджів</t>
  </si>
  <si>
    <t>Послуга з підготовки та видачі тех.умов.</t>
  </si>
  <si>
    <t>Розрахунково касове обслуговування</t>
  </si>
  <si>
    <t>Оплата послуг з навчання у сфері закупівель</t>
  </si>
  <si>
    <t>Податок на прибуток 18%</t>
  </si>
  <si>
    <t>Відрахування частини чистого прибутку</t>
  </si>
  <si>
    <t>Купівля саджанців рослин(туя, ялівець і т.і.)</t>
  </si>
  <si>
    <t>Ремонт транспорту</t>
  </si>
  <si>
    <t>Земельний податок</t>
  </si>
  <si>
    <t>Інші операційні  доходи (розшифрувати)</t>
  </si>
  <si>
    <t>Інші операційні  доходи (Фінансування з місцевого бюджету по Програмі благоустрою міста Нетішин на 2023-2025р.)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</si>
  <si>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</si>
  <si>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Надходження від фонду соціального страхування на виплату лікарняних</t>
  </si>
  <si>
    <t>дохід від надання послуг пайової участі, з прибирання території, транспортних послуг</t>
  </si>
  <si>
    <t>дохід від земельного сервітуту</t>
  </si>
  <si>
    <t>Послуга із санітарно-гігієнічної обробки приміщень</t>
  </si>
  <si>
    <t>Ветеринарні послуги</t>
  </si>
  <si>
    <t>Послуги по страхванню автотранспорту</t>
  </si>
  <si>
    <t>Послуги по мікробіологічному та санітарно хімічному дослідженню води питної і з озера для купання, піску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</si>
  <si>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</si>
  <si>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</si>
  <si>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</si>
  <si>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 xml:space="preserve">Автопослуги </t>
  </si>
  <si>
    <t>Послуги з атестації робочих місць</t>
  </si>
  <si>
    <t>Послуги з обслуговування біотуалетів</t>
  </si>
  <si>
    <t>Купівля інших МНМА</t>
  </si>
  <si>
    <t>Придбання обладнання довгострокового використання</t>
  </si>
  <si>
    <t>Послуги з технічного огляду та випробувань (техогляд)</t>
  </si>
  <si>
    <t>Постачання оновленння примірника КП M.E.DOCдержавна звітність локальна версія</t>
  </si>
  <si>
    <t>консультаційні послуги КП M.E.DOC державна звітність локальна версія</t>
  </si>
  <si>
    <t>Послуги комп'ютерної підримки</t>
  </si>
  <si>
    <t>Послуги з навчання з охорони праці</t>
  </si>
  <si>
    <t>Купівля продуктів харчування для безпритульних тварин</t>
  </si>
  <si>
    <t>Послуги з підготовки та видачі технічних умов на підключення води</t>
  </si>
  <si>
    <t>Послуги з експертно-правової системи для бухгалтера</t>
  </si>
  <si>
    <t>Послуга з медичного огляду працівників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</si>
  <si>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</si>
  <si>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 т.д.)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</si>
  <si>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</si>
  <si>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</si>
  <si>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</si>
  <si>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</si>
  <si>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</si>
  <si>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</si>
  <si>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</si>
  <si>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</si>
  <si>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</si>
  <si>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</si>
  <si>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</si>
  <si>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</si>
  <si>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</si>
  <si>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</si>
  <si>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</si>
  <si>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1051/16</t>
  </si>
  <si>
    <t>1051/17</t>
  </si>
  <si>
    <t>1070/1</t>
  </si>
  <si>
    <t>1070/2</t>
  </si>
  <si>
    <t>1070/3</t>
  </si>
  <si>
    <t>1070/4</t>
  </si>
  <si>
    <t>1070/6</t>
  </si>
  <si>
    <t>1080/1</t>
  </si>
  <si>
    <t>1080/3</t>
  </si>
  <si>
    <t>1080/5</t>
  </si>
  <si>
    <t>1080/6</t>
  </si>
  <si>
    <t>1080/7</t>
  </si>
  <si>
    <t>1080/8</t>
  </si>
  <si>
    <t>1080/9</t>
  </si>
  <si>
    <t>1080/11</t>
  </si>
  <si>
    <t>1080/13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</si>
  <si>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</si>
  <si>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</si>
  <si>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</si>
  <si>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</si>
  <si>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</si>
  <si>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</si>
  <si>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</si>
  <si>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</si>
  <si>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Факт минулого 2023 року</t>
  </si>
  <si>
    <t>Фінансовий план поточного 2024 року</t>
  </si>
  <si>
    <t>Змінений фінансовий план поточного 2024 року</t>
  </si>
  <si>
    <t>Змінений фінансовий план поточного 2024року</t>
  </si>
  <si>
    <t>придбання на оновлення необоротних активів (розшифрувати)</t>
  </si>
  <si>
    <t>Директор</t>
  </si>
  <si>
    <t>Марія Михайлівна ВЛАСЮК</t>
  </si>
  <si>
    <t>Нараховані до сплати відрахування частини чистого прибутку усього, у т.ч.:</t>
  </si>
  <si>
    <t>Сплата податків та зборів до Державного бюджету України (податкові платежі), усього, у т.ч.:</t>
  </si>
  <si>
    <t>інші податки та збори  (розшифрувати)</t>
  </si>
  <si>
    <t>Військовий збір</t>
  </si>
  <si>
    <t>2116/1</t>
  </si>
  <si>
    <t>Військовий  збір</t>
  </si>
  <si>
    <t>2124/1</t>
  </si>
  <si>
    <t>2124/2</t>
  </si>
  <si>
    <t>відрахування частини чистого прибутку до місцевого бюджету 15%</t>
  </si>
  <si>
    <t>2124/3</t>
  </si>
  <si>
    <t>Інші податки, збори та платежі на користь держави, усього, у т. ч.:</t>
  </si>
  <si>
    <t>Цільове фінансування (розшифрувати)</t>
  </si>
  <si>
    <t>3030/1</t>
  </si>
  <si>
    <t>Інші операційні доходи (розшифрувати)  Фінансування з місцевого бюджету по Програмі  благоустрою міста Нетішин на 2023-2025 р.</t>
  </si>
  <si>
    <t>3030/2</t>
  </si>
  <si>
    <t>Отримання коштів за короткостроковими зобов'язаннями</t>
  </si>
  <si>
    <t>Надходження від фонду соцстрахування на виплату лікарняних</t>
  </si>
  <si>
    <t>3060/1</t>
  </si>
  <si>
    <t>3060/2</t>
  </si>
  <si>
    <t>Повернення коштів за короткостроковими зобов'язаннями</t>
  </si>
  <si>
    <t>податок на доходи із з/пл</t>
  </si>
  <si>
    <t>3143/1</t>
  </si>
  <si>
    <t>податок на доходи із лік.ФСС</t>
  </si>
  <si>
    <t>3143/2</t>
  </si>
  <si>
    <t>3144/2</t>
  </si>
  <si>
    <t>Військовий збір з з/пл</t>
  </si>
  <si>
    <t>3144 /2 /1</t>
  </si>
  <si>
    <t>Військовий збір з лік.ФСС</t>
  </si>
  <si>
    <t>3144 /2 /2</t>
  </si>
  <si>
    <t>єдиний внесок на загальнообовязкове державне соціальне страхування</t>
  </si>
  <si>
    <t>3144/3</t>
  </si>
  <si>
    <t>в т.ч. ЄСВ із додаткової відпустки потерпілим внаслідок Чорнобильської катастрофи</t>
  </si>
  <si>
    <t>3144 /3 /1</t>
  </si>
  <si>
    <t>Податок на землю</t>
  </si>
  <si>
    <t>Виплата лікарняних за рахунок ФСС</t>
  </si>
  <si>
    <t>3170/1</t>
  </si>
  <si>
    <t>Придбання (виготовлення) інших необоротних матеріальних активів</t>
  </si>
  <si>
    <t>3260/1</t>
  </si>
  <si>
    <t>Придбання (створення) основних засобів</t>
  </si>
  <si>
    <t>3260/2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</si>
  <si>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</si>
  <si>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Дохід від сплати пайової участі в отримання обєкта благоустрою, наданих платних послуг,земельного  сервітуту</t>
  </si>
  <si>
    <t>Інші операційні  доходи (Фінансування з місцевого бюджету по  Програмі природоохоронних заходів на території Нетішинської міської територіальної громади на  2023-2025 роки )</t>
  </si>
  <si>
    <t>3040/1</t>
  </si>
  <si>
    <t>Пайова участь в утриманні об’єктів благоустрою .( Рішення виконавчого комітету Нетішинської міської ради Хмельницької області  « Про визначення обсягів пайової участі власників тимчасових споруд торговельного, побутового, соціально-культурного чи іншого призначення в утриманні об’єктів благоустрою міста Нетішин» від 25.06.2015р. №193/2015)</t>
  </si>
  <si>
    <t>Дохід  від земельного сервітуту</t>
  </si>
  <si>
    <t>3040/2</t>
  </si>
  <si>
    <t>1070/5</t>
  </si>
  <si>
    <t>Нарахування лукарняних ПФ</t>
  </si>
  <si>
    <t xml:space="preserve"> ЗМІНЕНИЙ ФІНАНСОВИЙ ПЛАН ПІДПРИЄМСТВА НА 2024 рік</t>
  </si>
  <si>
    <t>3150/1</t>
  </si>
  <si>
    <r>
      <t>Інші надходження (розшифрувати)</t>
    </r>
    <r>
      <rPr>
        <i/>
        <sz val="9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</si>
  <si>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9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</si>
  <si>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9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</si>
  <si>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9"/>
        <rFont val="Times New Roman"/>
        <family val="1"/>
      </rPr>
      <t xml:space="preserve"> </t>
    </r>
  </si>
  <si>
    <t>КП НМР "Комфорт"</t>
  </si>
  <si>
    <t>1080/2</t>
  </si>
  <si>
    <t>1080/4</t>
  </si>
  <si>
    <t>1080/10</t>
  </si>
  <si>
    <t>1080/12</t>
  </si>
  <si>
    <t>1080/14</t>
  </si>
  <si>
    <t>Додаток</t>
  </si>
  <si>
    <t>Нетішинської міської ради</t>
  </si>
  <si>
    <t>VІІІ скликання</t>
  </si>
  <si>
    <t>1080/23</t>
  </si>
  <si>
    <t>(у редакції рішення _____________ ___________ сесії Нетішинської міської ради VIII скликання 
__.__.____ № __/____</t>
  </si>
  <si>
    <t>Рішення сорок другої сесії</t>
  </si>
  <si>
    <t>24.11.2023 № 42/2034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</si>
</sst>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#,##0.0_ ;\-#,##0.0\ "/>
    <numFmt numFmtId="210" formatCode="_-* #,##0.0\ _₴_-;\-* #,##0.0\ _₴_-;_-* &quot;-&quot;?\ _₴_-;_-@_-"/>
    <numFmt numFmtId="211" formatCode="#,##0.000"/>
    <numFmt numFmtId="212" formatCode="_(* #,##0.00_);_(* \(#,##0.00\);_(* &quot;-&quot;_);_(@_)"/>
    <numFmt numFmtId="213" formatCode="_(* #,##0.000_);_(* \(#,##0.000\);_(* &quot;-&quot;??_);_(@_)"/>
    <numFmt numFmtId="214" formatCode="_-* #,##0.0\ _₽_-;\-* #,##0.0\ _₽_-;_-* &quot;-&quot;?\ _₽_-;_-@_-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.5"/>
      <name val="Times New Roman"/>
      <family val="1"/>
    </font>
    <font>
      <sz val="10.7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01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17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7" fontId="13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201" fontId="12" fillId="0" borderId="10" xfId="0" applyNumberFormat="1" applyFont="1" applyFill="1" applyBorder="1" applyAlignment="1">
      <alignment horizontal="center" vertical="center" wrapText="1"/>
    </xf>
    <xf numFmtId="20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quotePrefix="1">
      <alignment horizontal="center" vertical="center"/>
    </xf>
    <xf numFmtId="204" fontId="12" fillId="0" borderId="16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204" fontId="12" fillId="0" borderId="0" xfId="0" applyNumberFormat="1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04" fontId="4" fillId="0" borderId="0" xfId="0" applyNumberFormat="1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208" fontId="13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vertical="center" wrapText="1"/>
    </xf>
    <xf numFmtId="206" fontId="12" fillId="0" borderId="10" xfId="0" applyNumberFormat="1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center" vertical="center"/>
    </xf>
    <xf numFmtId="204" fontId="2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left" vertical="center" wrapText="1"/>
      <protection/>
    </xf>
    <xf numFmtId="204" fontId="12" fillId="0" borderId="0" xfId="53" applyNumberFormat="1" applyFont="1" applyFill="1" applyBorder="1" applyAlignment="1">
      <alignment horizontal="center" vertical="center" wrapText="1"/>
      <protection/>
    </xf>
    <xf numFmtId="204" fontId="12" fillId="0" borderId="0" xfId="53" applyNumberFormat="1" applyFont="1" applyFill="1" applyBorder="1" applyAlignment="1">
      <alignment horizontal="right" vertical="center" wrapText="1"/>
      <protection/>
    </xf>
    <xf numFmtId="204" fontId="12" fillId="0" borderId="0" xfId="53" applyNumberFormat="1" applyFont="1" applyFill="1" applyBorder="1" applyAlignment="1">
      <alignment horizontal="right" vertical="center"/>
      <protection/>
    </xf>
    <xf numFmtId="204" fontId="12" fillId="0" borderId="0" xfId="0" applyNumberFormat="1" applyFont="1" applyFill="1" applyBorder="1" applyAlignment="1">
      <alignment horizontal="left" vertical="center"/>
    </xf>
    <xf numFmtId="205" fontId="12" fillId="0" borderId="10" xfId="0" applyNumberFormat="1" applyFont="1" applyFill="1" applyBorder="1" applyAlignment="1">
      <alignment horizontal="center" vertical="center" wrapText="1"/>
    </xf>
    <xf numFmtId="208" fontId="12" fillId="0" borderId="10" xfId="0" applyNumberFormat="1" applyFont="1" applyFill="1" applyBorder="1" applyAlignment="1">
      <alignment vertical="center" wrapText="1"/>
    </xf>
    <xf numFmtId="205" fontId="12" fillId="0" borderId="10" xfId="0" applyNumberFormat="1" applyFont="1" applyFill="1" applyBorder="1" applyAlignment="1">
      <alignment horizontal="right" vertical="center" wrapText="1"/>
    </xf>
    <xf numFmtId="205" fontId="12" fillId="0" borderId="10" xfId="0" applyNumberFormat="1" applyFont="1" applyFill="1" applyBorder="1" applyAlignment="1">
      <alignment vertical="center" wrapText="1"/>
    </xf>
    <xf numFmtId="1" fontId="12" fillId="0" borderId="14" xfId="0" applyNumberFormat="1" applyFont="1" applyFill="1" applyBorder="1" applyAlignment="1">
      <alignment vertical="center" wrapText="1"/>
    </xf>
    <xf numFmtId="205" fontId="12" fillId="0" borderId="14" xfId="0" applyNumberFormat="1" applyFont="1" applyFill="1" applyBorder="1" applyAlignment="1">
      <alignment vertical="center" wrapText="1"/>
    </xf>
    <xf numFmtId="205" fontId="13" fillId="0" borderId="10" xfId="0" applyNumberFormat="1" applyFont="1" applyFill="1" applyBorder="1" applyAlignment="1">
      <alignment vertical="center" wrapText="1"/>
    </xf>
    <xf numFmtId="205" fontId="13" fillId="0" borderId="14" xfId="0" applyNumberFormat="1" applyFont="1" applyFill="1" applyBorder="1" applyAlignment="1">
      <alignment vertical="center" wrapText="1"/>
    </xf>
    <xf numFmtId="205" fontId="30" fillId="0" borderId="10" xfId="0" applyNumberFormat="1" applyFont="1" applyFill="1" applyBorder="1" applyAlignment="1">
      <alignment vertical="center" wrapText="1"/>
    </xf>
    <xf numFmtId="205" fontId="20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/>
    </xf>
    <xf numFmtId="201" fontId="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 quotePrefix="1">
      <alignment horizontal="center" vertical="center"/>
    </xf>
    <xf numFmtId="201" fontId="28" fillId="0" borderId="10" xfId="0" applyNumberFormat="1" applyFont="1" applyFill="1" applyBorder="1" applyAlignment="1">
      <alignment horizontal="center" vertical="center" wrapText="1"/>
    </xf>
    <xf numFmtId="205" fontId="28" fillId="0" borderId="10" xfId="0" applyNumberFormat="1" applyFont="1" applyFill="1" applyBorder="1" applyAlignment="1">
      <alignment horizontal="center" vertical="center" wrapText="1"/>
    </xf>
    <xf numFmtId="205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205" fontId="6" fillId="0" borderId="10" xfId="0" applyNumberFormat="1" applyFont="1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205" fontId="6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 quotePrefix="1">
      <alignment horizontal="center"/>
    </xf>
    <xf numFmtId="205" fontId="28" fillId="0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 quotePrefix="1">
      <alignment horizontal="center" vertical="center"/>
    </xf>
    <xf numFmtId="204" fontId="6" fillId="0" borderId="16" xfId="0" applyNumberFormat="1" applyFont="1" applyFill="1" applyBorder="1" applyAlignment="1">
      <alignment horizontal="left" vertical="center"/>
    </xf>
    <xf numFmtId="1" fontId="28" fillId="0" borderId="0" xfId="0" applyNumberFormat="1" applyFont="1" applyFill="1" applyBorder="1" applyAlignment="1">
      <alignment vertical="center"/>
    </xf>
    <xf numFmtId="204" fontId="6" fillId="0" borderId="0" xfId="0" applyNumberFormat="1" applyFont="1" applyFill="1" applyBorder="1" applyAlignment="1" quotePrefix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 quotePrefix="1">
      <alignment horizontal="center" vertical="center"/>
    </xf>
    <xf numFmtId="208" fontId="28" fillId="0" borderId="10" xfId="0" applyNumberFormat="1" applyFont="1" applyFill="1" applyBorder="1" applyAlignment="1">
      <alignment horizontal="center" vertical="center" wrapText="1"/>
    </xf>
    <xf numFmtId="208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8" fillId="0" borderId="19" xfId="53" applyFont="1" applyFill="1" applyBorder="1" applyAlignment="1">
      <alignment horizontal="left" vertical="center" wrapText="1"/>
      <protection/>
    </xf>
    <xf numFmtId="0" fontId="28" fillId="0" borderId="19" xfId="0" applyFont="1" applyFill="1" applyBorder="1" applyAlignment="1" quotePrefix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 wrapText="1"/>
    </xf>
    <xf numFmtId="209" fontId="6" fillId="0" borderId="10" xfId="0" applyNumberFormat="1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8" fillId="0" borderId="0" xfId="0" applyFont="1" applyFill="1" applyBorder="1" applyAlignment="1" quotePrefix="1">
      <alignment horizontal="center" vertical="center"/>
    </xf>
    <xf numFmtId="205" fontId="28" fillId="0" borderId="0" xfId="0" applyNumberFormat="1" applyFont="1" applyFill="1" applyBorder="1" applyAlignment="1">
      <alignment horizontal="center" vertical="center" wrapText="1"/>
    </xf>
    <xf numFmtId="205" fontId="28" fillId="0" borderId="0" xfId="0" applyNumberFormat="1" applyFont="1" applyFill="1" applyBorder="1" applyAlignment="1">
      <alignment horizontal="right" vertical="center" wrapText="1"/>
    </xf>
    <xf numFmtId="205" fontId="28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208" fontId="5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3" fillId="0" borderId="20" xfId="0" applyFont="1" applyBorder="1" applyAlignment="1">
      <alignment vertical="center"/>
    </xf>
    <xf numFmtId="0" fontId="34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5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5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208" fontId="6" fillId="0" borderId="0" xfId="0" applyNumberFormat="1" applyFont="1" applyFill="1" applyAlignment="1">
      <alignment/>
    </xf>
    <xf numFmtId="208" fontId="28" fillId="0" borderId="0" xfId="0" applyNumberFormat="1" applyFont="1" applyFill="1" applyBorder="1" applyAlignment="1">
      <alignment vertical="center" wrapText="1"/>
    </xf>
    <xf numFmtId="208" fontId="28" fillId="0" borderId="10" xfId="0" applyNumberFormat="1" applyFont="1" applyFill="1" applyBorder="1" applyAlignment="1">
      <alignment vertical="center" wrapText="1"/>
    </xf>
    <xf numFmtId="208" fontId="31" fillId="0" borderId="10" xfId="0" applyNumberFormat="1" applyFont="1" applyFill="1" applyBorder="1" applyAlignment="1">
      <alignment vertical="center" wrapText="1"/>
    </xf>
    <xf numFmtId="208" fontId="27" fillId="0" borderId="10" xfId="0" applyNumberFormat="1" applyFont="1" applyFill="1" applyBorder="1" applyAlignment="1">
      <alignment vertical="center" wrapText="1"/>
    </xf>
    <xf numFmtId="208" fontId="6" fillId="0" borderId="10" xfId="0" applyNumberFormat="1" applyFont="1" applyFill="1" applyBorder="1" applyAlignment="1">
      <alignment/>
    </xf>
    <xf numFmtId="208" fontId="28" fillId="0" borderId="10" xfId="0" applyNumberFormat="1" applyFont="1" applyFill="1" applyBorder="1" applyAlignment="1">
      <alignment/>
    </xf>
    <xf numFmtId="208" fontId="6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205" fontId="6" fillId="0" borderId="1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13" fillId="0" borderId="10" xfId="53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/>
    </xf>
    <xf numFmtId="0" fontId="13" fillId="0" borderId="0" xfId="53" applyFont="1" applyFill="1" applyBorder="1" applyAlignment="1">
      <alignment horizontal="center" vertical="center"/>
      <protection/>
    </xf>
    <xf numFmtId="0" fontId="17" fillId="0" borderId="23" xfId="0" applyFont="1" applyBorder="1" applyAlignment="1">
      <alignment vertical="center"/>
    </xf>
    <xf numFmtId="0" fontId="3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left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08" fontId="6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8" fillId="0" borderId="14" xfId="53" applyFont="1" applyFill="1" applyBorder="1" applyAlignment="1">
      <alignment horizontal="center" vertical="center" wrapText="1"/>
      <protection/>
    </xf>
    <xf numFmtId="0" fontId="28" fillId="0" borderId="28" xfId="53" applyFont="1" applyFill="1" applyBorder="1" applyAlignment="1">
      <alignment horizontal="center" vertical="center" wrapText="1"/>
      <protection/>
    </xf>
    <xf numFmtId="0" fontId="28" fillId="0" borderId="29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0.71875" style="0" customWidth="1"/>
    <col min="2" max="2" width="26.7109375" style="0" customWidth="1"/>
    <col min="3" max="3" width="8.00390625" style="0" customWidth="1"/>
    <col min="4" max="4" width="8.28125" style="0" customWidth="1"/>
    <col min="6" max="6" width="10.57421875" style="0" customWidth="1"/>
    <col min="7" max="7" width="7.421875" style="0" customWidth="1"/>
    <col min="8" max="8" width="15.8515625" style="0" customWidth="1"/>
  </cols>
  <sheetData>
    <row r="1" spans="2:8" ht="18.75">
      <c r="B1" s="26"/>
      <c r="E1" s="197" t="s">
        <v>329</v>
      </c>
      <c r="F1" s="196"/>
      <c r="G1" s="196"/>
      <c r="H1" s="196"/>
    </row>
    <row r="2" spans="2:8" ht="18.75">
      <c r="B2" s="26"/>
      <c r="E2" s="196" t="s">
        <v>126</v>
      </c>
      <c r="F2" s="196"/>
      <c r="G2" s="196"/>
      <c r="H2" s="196"/>
    </row>
    <row r="3" spans="2:8" ht="18.75">
      <c r="B3" s="26"/>
      <c r="E3" s="196" t="s">
        <v>334</v>
      </c>
      <c r="F3" s="196"/>
      <c r="G3" s="196"/>
      <c r="H3" s="196"/>
    </row>
    <row r="4" spans="2:8" ht="18.75">
      <c r="B4" s="26"/>
      <c r="E4" s="196" t="s">
        <v>330</v>
      </c>
      <c r="F4" s="196"/>
      <c r="G4" s="196"/>
      <c r="H4" s="196"/>
    </row>
    <row r="5" spans="2:8" ht="18.75">
      <c r="B5" s="26"/>
      <c r="E5" s="196" t="s">
        <v>331</v>
      </c>
      <c r="F5" s="196"/>
      <c r="G5" s="196"/>
      <c r="H5" s="196"/>
    </row>
    <row r="6" spans="2:8" ht="18.75">
      <c r="B6" s="26"/>
      <c r="E6" s="196" t="s">
        <v>335</v>
      </c>
      <c r="F6" s="196"/>
      <c r="G6" s="196"/>
      <c r="H6" s="196"/>
    </row>
    <row r="7" spans="2:8" ht="74.25" customHeight="1">
      <c r="B7" s="26"/>
      <c r="E7" s="215" t="s">
        <v>333</v>
      </c>
      <c r="F7" s="215"/>
      <c r="G7" s="215"/>
      <c r="H7" s="215"/>
    </row>
    <row r="8" spans="2:8" ht="18.75">
      <c r="B8" s="26"/>
      <c r="E8" s="208"/>
      <c r="F8" s="208"/>
      <c r="G8" s="208"/>
      <c r="H8" s="208"/>
    </row>
    <row r="9" spans="2:8" ht="20.25" customHeight="1">
      <c r="B9" s="25"/>
      <c r="E9" s="196"/>
      <c r="F9" s="196"/>
      <c r="G9" s="196"/>
      <c r="H9" s="196"/>
    </row>
    <row r="10" spans="2:8" ht="20.25" customHeight="1">
      <c r="B10" s="220" t="s">
        <v>159</v>
      </c>
      <c r="C10" s="220"/>
      <c r="D10" s="220"/>
      <c r="E10" s="220"/>
      <c r="F10" s="220"/>
      <c r="G10" s="220"/>
      <c r="H10" s="220"/>
    </row>
    <row r="11" spans="2:8" ht="20.25" customHeight="1">
      <c r="B11" s="25"/>
      <c r="C11" s="178"/>
      <c r="D11" s="178"/>
      <c r="E11" s="178"/>
      <c r="F11" s="178"/>
      <c r="G11" s="178"/>
      <c r="H11" s="178"/>
    </row>
    <row r="12" spans="2:8" ht="20.25" customHeight="1" thickBot="1">
      <c r="B12" s="25"/>
      <c r="C12" s="178"/>
      <c r="D12" s="178"/>
      <c r="E12" s="178"/>
      <c r="F12" s="178"/>
      <c r="G12" s="178"/>
      <c r="H12" s="178"/>
    </row>
    <row r="13" spans="2:8" ht="15.75">
      <c r="B13" s="27"/>
      <c r="C13" s="179"/>
      <c r="D13" s="180"/>
      <c r="E13" s="180"/>
      <c r="F13" s="180"/>
      <c r="G13" s="216" t="s">
        <v>127</v>
      </c>
      <c r="H13" s="217"/>
    </row>
    <row r="14" spans="2:8" ht="19.5" thickBot="1">
      <c r="B14" s="32"/>
      <c r="C14" s="62"/>
      <c r="D14" s="62"/>
      <c r="E14" s="62"/>
      <c r="F14" s="179" t="s">
        <v>124</v>
      </c>
      <c r="G14" s="218">
        <v>2024</v>
      </c>
      <c r="H14" s="219"/>
    </row>
    <row r="15" spans="2:8" ht="21.75" customHeight="1" thickBot="1">
      <c r="B15" s="41" t="s">
        <v>128</v>
      </c>
      <c r="C15" s="181" t="s">
        <v>323</v>
      </c>
      <c r="D15" s="182"/>
      <c r="E15" s="182"/>
      <c r="F15" s="183" t="s">
        <v>158</v>
      </c>
      <c r="G15" s="184"/>
      <c r="H15" s="185">
        <v>41556703</v>
      </c>
    </row>
    <row r="16" spans="2:8" ht="32.25" thickBot="1">
      <c r="B16" s="28" t="s">
        <v>129</v>
      </c>
      <c r="C16" s="186"/>
      <c r="D16" s="186"/>
      <c r="E16" s="186"/>
      <c r="F16" s="187" t="s">
        <v>130</v>
      </c>
      <c r="G16" s="188">
        <v>150</v>
      </c>
      <c r="H16" s="185"/>
    </row>
    <row r="17" spans="2:8" ht="21.75" customHeight="1" thickBot="1">
      <c r="B17" s="28" t="s">
        <v>131</v>
      </c>
      <c r="C17" s="186"/>
      <c r="D17" s="186"/>
      <c r="E17" s="186"/>
      <c r="F17" s="187" t="s">
        <v>132</v>
      </c>
      <c r="G17" s="188" t="s">
        <v>167</v>
      </c>
      <c r="H17" s="185"/>
    </row>
    <row r="18" spans="2:8" ht="32.25" thickBot="1">
      <c r="B18" s="28" t="s">
        <v>133</v>
      </c>
      <c r="C18" s="213" t="s">
        <v>168</v>
      </c>
      <c r="D18" s="214"/>
      <c r="E18" s="214"/>
      <c r="F18" s="187" t="s">
        <v>134</v>
      </c>
      <c r="G18" s="188"/>
      <c r="H18" s="185"/>
    </row>
    <row r="19" spans="2:8" ht="32.25" customHeight="1" thickBot="1">
      <c r="B19" s="28" t="s">
        <v>135</v>
      </c>
      <c r="C19" s="186"/>
      <c r="D19" s="186"/>
      <c r="E19" s="186"/>
      <c r="F19" s="189"/>
      <c r="G19" s="189"/>
      <c r="H19" s="190"/>
    </row>
    <row r="20" spans="2:8" ht="21.75" customHeight="1" thickBot="1">
      <c r="B20" s="28" t="s">
        <v>136</v>
      </c>
      <c r="C20" s="191" t="s">
        <v>169</v>
      </c>
      <c r="D20" s="186"/>
      <c r="E20" s="186"/>
      <c r="F20" s="189"/>
      <c r="G20" s="189"/>
      <c r="H20" s="190"/>
    </row>
    <row r="21" spans="2:8" ht="21.75" customHeight="1" thickBot="1">
      <c r="B21" s="28" t="s">
        <v>137</v>
      </c>
      <c r="C21" s="186">
        <v>35</v>
      </c>
      <c r="D21" s="192"/>
      <c r="E21" s="192"/>
      <c r="F21" s="186"/>
      <c r="G21" s="189"/>
      <c r="H21" s="190"/>
    </row>
    <row r="22" spans="2:8" ht="21.75" customHeight="1" thickBot="1">
      <c r="B22" s="28" t="s">
        <v>138</v>
      </c>
      <c r="C22" s="189" t="s">
        <v>170</v>
      </c>
      <c r="D22" s="189"/>
      <c r="E22" s="189"/>
      <c r="F22" s="189"/>
      <c r="G22" s="189"/>
      <c r="H22" s="190"/>
    </row>
    <row r="23" spans="2:8" ht="21.75" customHeight="1" thickBot="1">
      <c r="B23" s="28" t="s">
        <v>139</v>
      </c>
      <c r="C23" s="193"/>
      <c r="D23" s="193" t="s">
        <v>171</v>
      </c>
      <c r="E23" s="193"/>
      <c r="F23" s="193"/>
      <c r="G23" s="193"/>
      <c r="H23" s="194"/>
    </row>
    <row r="24" spans="3:8" ht="15.75">
      <c r="C24" s="29"/>
      <c r="D24" s="212"/>
      <c r="E24" s="212"/>
      <c r="F24" s="29"/>
      <c r="G24" s="29"/>
      <c r="H24" s="29"/>
    </row>
    <row r="25" spans="2:8" ht="16.5">
      <c r="B25" s="33" t="s">
        <v>140</v>
      </c>
      <c r="D25" s="63"/>
      <c r="E25" s="61"/>
      <c r="F25" s="25" t="s">
        <v>172</v>
      </c>
      <c r="H25" s="25"/>
    </row>
    <row r="26" spans="2:8" ht="15.75">
      <c r="B26" s="25"/>
      <c r="C26" s="25"/>
      <c r="D26" s="25"/>
      <c r="E26" s="25"/>
      <c r="F26" s="27"/>
      <c r="G26" s="25"/>
      <c r="H26" s="25"/>
    </row>
    <row r="27" spans="2:8" ht="12.75">
      <c r="B27" s="30"/>
      <c r="C27" s="30"/>
      <c r="D27" s="30"/>
      <c r="E27" s="30"/>
      <c r="F27" s="30"/>
      <c r="G27" s="30"/>
      <c r="H27" s="30"/>
    </row>
    <row r="28" ht="16.5">
      <c r="B28" s="31"/>
    </row>
    <row r="29" ht="15.75">
      <c r="B29" s="24"/>
    </row>
    <row r="30" ht="15.75">
      <c r="B30" s="24"/>
    </row>
    <row r="31" ht="15.75">
      <c r="B31" s="24"/>
    </row>
    <row r="32" ht="15.75">
      <c r="B32" s="24"/>
    </row>
    <row r="33" ht="15.75">
      <c r="B33" s="24"/>
    </row>
    <row r="34" ht="15.75">
      <c r="B34" s="24"/>
    </row>
    <row r="35" ht="15.75">
      <c r="B35" s="24"/>
    </row>
  </sheetData>
  <sheetProtection/>
  <mergeCells count="5">
    <mergeCell ref="C18:E18"/>
    <mergeCell ref="E7:H7"/>
    <mergeCell ref="G13:H13"/>
    <mergeCell ref="G14:H14"/>
    <mergeCell ref="B10:H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29.8515625" style="119" customWidth="1"/>
    <col min="2" max="2" width="8.57421875" style="119" bestFit="1" customWidth="1"/>
    <col min="3" max="3" width="7.8515625" style="198" customWidth="1"/>
    <col min="4" max="4" width="8.00390625" style="120" customWidth="1"/>
    <col min="5" max="5" width="7.8515625" style="120" customWidth="1"/>
    <col min="6" max="8" width="6.140625" style="120" customWidth="1"/>
    <col min="9" max="9" width="6.140625" style="119" customWidth="1"/>
    <col min="10" max="16384" width="9.140625" style="119" customWidth="1"/>
  </cols>
  <sheetData>
    <row r="1" spans="1:9" ht="12">
      <c r="A1" s="222" t="s">
        <v>317</v>
      </c>
      <c r="B1" s="222"/>
      <c r="C1" s="222"/>
      <c r="D1" s="222"/>
      <c r="E1" s="222"/>
      <c r="F1" s="222"/>
      <c r="G1" s="222"/>
      <c r="H1" s="222"/>
      <c r="I1" s="222"/>
    </row>
    <row r="2" spans="7:9" ht="12">
      <c r="G2" s="223" t="s">
        <v>125</v>
      </c>
      <c r="H2" s="223"/>
      <c r="I2" s="223"/>
    </row>
    <row r="3" spans="1:9" ht="12">
      <c r="A3" s="224" t="s">
        <v>0</v>
      </c>
      <c r="B3" s="224"/>
      <c r="C3" s="224"/>
      <c r="D3" s="224"/>
      <c r="E3" s="224"/>
      <c r="F3" s="224"/>
      <c r="G3" s="224"/>
      <c r="H3" s="224"/>
      <c r="I3" s="224"/>
    </row>
    <row r="4" spans="1:9" ht="12">
      <c r="A4" s="121"/>
      <c r="B4" s="122"/>
      <c r="C4" s="199"/>
      <c r="D4" s="121"/>
      <c r="E4" s="122"/>
      <c r="F4" s="121"/>
      <c r="G4" s="121"/>
      <c r="H4" s="121"/>
      <c r="I4" s="121"/>
    </row>
    <row r="5" spans="1:9" ht="15" customHeight="1">
      <c r="A5" s="225" t="s">
        <v>1</v>
      </c>
      <c r="B5" s="226" t="s">
        <v>2</v>
      </c>
      <c r="C5" s="227" t="s">
        <v>261</v>
      </c>
      <c r="D5" s="226" t="s">
        <v>262</v>
      </c>
      <c r="E5" s="226" t="s">
        <v>263</v>
      </c>
      <c r="F5" s="226" t="s">
        <v>3</v>
      </c>
      <c r="G5" s="226"/>
      <c r="H5" s="226"/>
      <c r="I5" s="226"/>
    </row>
    <row r="6" spans="1:9" ht="84" customHeight="1">
      <c r="A6" s="225"/>
      <c r="B6" s="226"/>
      <c r="C6" s="227"/>
      <c r="D6" s="226"/>
      <c r="E6" s="226"/>
      <c r="F6" s="123" t="s">
        <v>4</v>
      </c>
      <c r="G6" s="123" t="s">
        <v>5</v>
      </c>
      <c r="H6" s="123" t="s">
        <v>6</v>
      </c>
      <c r="I6" s="123" t="s">
        <v>7</v>
      </c>
    </row>
    <row r="7" spans="1:9" ht="12">
      <c r="A7" s="8">
        <v>1</v>
      </c>
      <c r="B7" s="9">
        <v>2</v>
      </c>
      <c r="C7" s="164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2">
      <c r="A8" s="124" t="s">
        <v>8</v>
      </c>
      <c r="B8" s="124"/>
      <c r="C8" s="200"/>
      <c r="D8" s="124"/>
      <c r="E8" s="124"/>
      <c r="F8" s="124"/>
      <c r="G8" s="124"/>
      <c r="H8" s="124"/>
      <c r="I8" s="124"/>
    </row>
    <row r="9" spans="1:9" ht="24">
      <c r="A9" s="125" t="s">
        <v>9</v>
      </c>
      <c r="B9" s="126">
        <v>1000</v>
      </c>
      <c r="C9" s="164"/>
      <c r="D9" s="127"/>
      <c r="E9" s="127"/>
      <c r="F9" s="127"/>
      <c r="G9" s="127"/>
      <c r="H9" s="127"/>
      <c r="I9" s="127"/>
    </row>
    <row r="10" spans="1:9" ht="24">
      <c r="A10" s="125" t="s">
        <v>10</v>
      </c>
      <c r="B10" s="126">
        <v>1010</v>
      </c>
      <c r="C10" s="164">
        <f aca="true" t="shared" si="0" ref="C10:I10">C11+C12+C13+C14+C15+C16+C17+C18</f>
        <v>0</v>
      </c>
      <c r="D10" s="127">
        <f t="shared" si="0"/>
        <v>0</v>
      </c>
      <c r="E10" s="127">
        <f t="shared" si="0"/>
        <v>0</v>
      </c>
      <c r="F10" s="127">
        <f t="shared" si="0"/>
        <v>0</v>
      </c>
      <c r="G10" s="127">
        <f t="shared" si="0"/>
        <v>0</v>
      </c>
      <c r="H10" s="127">
        <f t="shared" si="0"/>
        <v>0</v>
      </c>
      <c r="I10" s="127">
        <f t="shared" si="0"/>
        <v>0</v>
      </c>
    </row>
    <row r="11" spans="1:9" ht="24">
      <c r="A11" s="125" t="s">
        <v>11</v>
      </c>
      <c r="B11" s="9">
        <v>1011</v>
      </c>
      <c r="C11" s="164"/>
      <c r="D11" s="127"/>
      <c r="E11" s="127"/>
      <c r="F11" s="127"/>
      <c r="G11" s="127"/>
      <c r="H11" s="127"/>
      <c r="I11" s="127"/>
    </row>
    <row r="12" spans="1:9" ht="12">
      <c r="A12" s="125" t="s">
        <v>12</v>
      </c>
      <c r="B12" s="9">
        <v>1012</v>
      </c>
      <c r="C12" s="164"/>
      <c r="D12" s="127"/>
      <c r="E12" s="127"/>
      <c r="F12" s="127"/>
      <c r="G12" s="127"/>
      <c r="H12" s="127"/>
      <c r="I12" s="127"/>
    </row>
    <row r="13" spans="1:9" ht="12">
      <c r="A13" s="125" t="s">
        <v>13</v>
      </c>
      <c r="B13" s="9">
        <v>1013</v>
      </c>
      <c r="C13" s="164"/>
      <c r="D13" s="127"/>
      <c r="E13" s="127"/>
      <c r="F13" s="127"/>
      <c r="G13" s="127"/>
      <c r="H13" s="127"/>
      <c r="I13" s="127"/>
    </row>
    <row r="14" spans="1:9" ht="12">
      <c r="A14" s="125" t="s">
        <v>14</v>
      </c>
      <c r="B14" s="9">
        <v>1014</v>
      </c>
      <c r="C14" s="164"/>
      <c r="D14" s="127"/>
      <c r="E14" s="127"/>
      <c r="F14" s="127"/>
      <c r="G14" s="127"/>
      <c r="H14" s="127"/>
      <c r="I14" s="127"/>
    </row>
    <row r="15" spans="1:9" ht="12">
      <c r="A15" s="125" t="s">
        <v>15</v>
      </c>
      <c r="B15" s="9">
        <v>1015</v>
      </c>
      <c r="C15" s="164"/>
      <c r="D15" s="127"/>
      <c r="E15" s="127"/>
      <c r="F15" s="127"/>
      <c r="G15" s="127"/>
      <c r="H15" s="127"/>
      <c r="I15" s="127"/>
    </row>
    <row r="16" spans="1:9" ht="60">
      <c r="A16" s="125" t="s">
        <v>16</v>
      </c>
      <c r="B16" s="9">
        <v>1016</v>
      </c>
      <c r="C16" s="164"/>
      <c r="D16" s="127"/>
      <c r="E16" s="127"/>
      <c r="F16" s="127"/>
      <c r="G16" s="127"/>
      <c r="H16" s="127"/>
      <c r="I16" s="127"/>
    </row>
    <row r="17" spans="1:9" ht="24">
      <c r="A17" s="125" t="s">
        <v>17</v>
      </c>
      <c r="B17" s="9">
        <v>1017</v>
      </c>
      <c r="C17" s="164"/>
      <c r="D17" s="127"/>
      <c r="E17" s="127"/>
      <c r="F17" s="127"/>
      <c r="G17" s="127"/>
      <c r="H17" s="127"/>
      <c r="I17" s="127"/>
    </row>
    <row r="18" spans="1:9" ht="12">
      <c r="A18" s="125" t="s">
        <v>18</v>
      </c>
      <c r="B18" s="9">
        <v>1018</v>
      </c>
      <c r="C18" s="164"/>
      <c r="D18" s="127"/>
      <c r="E18" s="127"/>
      <c r="F18" s="127"/>
      <c r="G18" s="127"/>
      <c r="H18" s="127"/>
      <c r="I18" s="127"/>
    </row>
    <row r="19" spans="1:9" ht="12">
      <c r="A19" s="124" t="s">
        <v>19</v>
      </c>
      <c r="B19" s="128">
        <v>1020</v>
      </c>
      <c r="C19" s="200">
        <f aca="true" t="shared" si="1" ref="C19:I19">C9-C10</f>
        <v>0</v>
      </c>
      <c r="D19" s="129">
        <f t="shared" si="1"/>
        <v>0</v>
      </c>
      <c r="E19" s="129">
        <f t="shared" si="1"/>
        <v>0</v>
      </c>
      <c r="F19" s="129">
        <f t="shared" si="1"/>
        <v>0</v>
      </c>
      <c r="G19" s="129">
        <f t="shared" si="1"/>
        <v>0</v>
      </c>
      <c r="H19" s="129">
        <f t="shared" si="1"/>
        <v>0</v>
      </c>
      <c r="I19" s="129">
        <f t="shared" si="1"/>
        <v>0</v>
      </c>
    </row>
    <row r="20" spans="1:9" ht="12">
      <c r="A20" s="124" t="s">
        <v>173</v>
      </c>
      <c r="B20" s="128">
        <v>1030</v>
      </c>
      <c r="C20" s="200">
        <f>C21+C22+C23+C24+C25+C26+C27+C28+C29+C30+C31+C32+C33+C34+C35+C36+C37+C38+C39+C40+C42</f>
        <v>40439.60000000001</v>
      </c>
      <c r="D20" s="130">
        <f aca="true" t="shared" si="2" ref="D20:I20">D21+D22+D23+D24+D25+D26+D27+D28+D29+D30+D31+D32+D33+D34+D35+D36+D37+D38+D39+D40+D41+D42</f>
        <v>11811</v>
      </c>
      <c r="E20" s="130">
        <f>E21+E22+E23+E24+E25+E26+E27+E28+E29+E30+E31+E32+E33+E34+E35+E36+E37+E38+E39+E40+E41+E42</f>
        <v>11811</v>
      </c>
      <c r="F20" s="130">
        <f t="shared" si="2"/>
        <v>3105</v>
      </c>
      <c r="G20" s="130">
        <f t="shared" si="2"/>
        <v>3099</v>
      </c>
      <c r="H20" s="130">
        <f t="shared" si="2"/>
        <v>2808</v>
      </c>
      <c r="I20" s="130">
        <f t="shared" si="2"/>
        <v>2799</v>
      </c>
    </row>
    <row r="21" spans="1:9" ht="24">
      <c r="A21" s="125" t="s">
        <v>20</v>
      </c>
      <c r="B21" s="126">
        <v>1031</v>
      </c>
      <c r="C21" s="164"/>
      <c r="D21" s="131"/>
      <c r="E21" s="131"/>
      <c r="F21" s="131"/>
      <c r="G21" s="131"/>
      <c r="H21" s="131"/>
      <c r="I21" s="131"/>
    </row>
    <row r="22" spans="1:9" ht="24">
      <c r="A22" s="125" t="s">
        <v>21</v>
      </c>
      <c r="B22" s="126">
        <v>1032</v>
      </c>
      <c r="C22" s="164"/>
      <c r="D22" s="131"/>
      <c r="E22" s="131"/>
      <c r="F22" s="131"/>
      <c r="G22" s="131"/>
      <c r="H22" s="131"/>
      <c r="I22" s="131"/>
    </row>
    <row r="23" spans="1:9" ht="12">
      <c r="A23" s="125" t="s">
        <v>22</v>
      </c>
      <c r="B23" s="126">
        <v>1033</v>
      </c>
      <c r="C23" s="164"/>
      <c r="D23" s="131"/>
      <c r="E23" s="131"/>
      <c r="F23" s="131"/>
      <c r="G23" s="131"/>
      <c r="H23" s="131"/>
      <c r="I23" s="131"/>
    </row>
    <row r="24" spans="1:9" ht="12">
      <c r="A24" s="125" t="s">
        <v>23</v>
      </c>
      <c r="B24" s="126">
        <v>1034</v>
      </c>
      <c r="C24" s="164"/>
      <c r="D24" s="131"/>
      <c r="E24" s="131"/>
      <c r="F24" s="131"/>
      <c r="G24" s="131"/>
      <c r="H24" s="131"/>
      <c r="I24" s="131"/>
    </row>
    <row r="25" spans="1:9" ht="12">
      <c r="A25" s="125" t="s">
        <v>24</v>
      </c>
      <c r="B25" s="126">
        <v>1035</v>
      </c>
      <c r="C25" s="164"/>
      <c r="D25" s="131"/>
      <c r="E25" s="131"/>
      <c r="F25" s="131"/>
      <c r="G25" s="131"/>
      <c r="H25" s="131"/>
      <c r="I25" s="131"/>
    </row>
    <row r="26" spans="1:9" ht="12">
      <c r="A26" s="125" t="s">
        <v>25</v>
      </c>
      <c r="B26" s="126">
        <v>1036</v>
      </c>
      <c r="C26" s="164"/>
      <c r="D26" s="131">
        <v>3</v>
      </c>
      <c r="E26" s="131">
        <v>3</v>
      </c>
      <c r="F26" s="131"/>
      <c r="G26" s="131">
        <v>3</v>
      </c>
      <c r="H26" s="131"/>
      <c r="I26" s="131"/>
    </row>
    <row r="27" spans="1:9" ht="12">
      <c r="A27" s="125" t="s">
        <v>26</v>
      </c>
      <c r="B27" s="126">
        <v>1037</v>
      </c>
      <c r="C27" s="164">
        <v>7.5</v>
      </c>
      <c r="D27" s="131">
        <v>9</v>
      </c>
      <c r="E27" s="131">
        <v>9</v>
      </c>
      <c r="F27" s="131">
        <v>2</v>
      </c>
      <c r="G27" s="131">
        <v>2</v>
      </c>
      <c r="H27" s="131">
        <v>2</v>
      </c>
      <c r="I27" s="131">
        <v>3</v>
      </c>
    </row>
    <row r="28" spans="1:9" ht="12">
      <c r="A28" s="125" t="s">
        <v>27</v>
      </c>
      <c r="B28" s="126">
        <v>1038</v>
      </c>
      <c r="C28" s="164">
        <f>'V ОП'!C10</f>
        <v>5182.6</v>
      </c>
      <c r="D28" s="131">
        <v>6945</v>
      </c>
      <c r="E28" s="131">
        <f>'V ОП'!E10</f>
        <v>6945</v>
      </c>
      <c r="F28" s="131">
        <v>1737</v>
      </c>
      <c r="G28" s="131">
        <v>1736</v>
      </c>
      <c r="H28" s="131">
        <v>1736</v>
      </c>
      <c r="I28" s="131">
        <v>1736</v>
      </c>
    </row>
    <row r="29" spans="1:9" ht="12">
      <c r="A29" s="125" t="s">
        <v>28</v>
      </c>
      <c r="B29" s="126">
        <v>1039</v>
      </c>
      <c r="C29" s="164">
        <v>1056.9</v>
      </c>
      <c r="D29" s="131">
        <v>1528</v>
      </c>
      <c r="E29" s="131">
        <v>1528</v>
      </c>
      <c r="F29" s="131">
        <v>382</v>
      </c>
      <c r="G29" s="131">
        <v>382</v>
      </c>
      <c r="H29" s="131">
        <v>382</v>
      </c>
      <c r="I29" s="131">
        <v>382</v>
      </c>
    </row>
    <row r="30" spans="1:9" ht="36">
      <c r="A30" s="125" t="s">
        <v>174</v>
      </c>
      <c r="B30" s="126">
        <v>1040</v>
      </c>
      <c r="C30" s="164">
        <f>33978.3-1017.2</f>
        <v>32961.100000000006</v>
      </c>
      <c r="D30" s="131">
        <v>723</v>
      </c>
      <c r="E30" s="131">
        <v>723</v>
      </c>
      <c r="F30" s="131">
        <v>180</v>
      </c>
      <c r="G30" s="131">
        <v>181</v>
      </c>
      <c r="H30" s="131">
        <v>181</v>
      </c>
      <c r="I30" s="131">
        <v>181</v>
      </c>
    </row>
    <row r="31" spans="1:9" ht="36">
      <c r="A31" s="125" t="s">
        <v>29</v>
      </c>
      <c r="B31" s="126">
        <v>1041</v>
      </c>
      <c r="C31" s="164"/>
      <c r="D31" s="131"/>
      <c r="E31" s="131"/>
      <c r="F31" s="131"/>
      <c r="G31" s="131"/>
      <c r="H31" s="131"/>
      <c r="I31" s="131"/>
    </row>
    <row r="32" spans="1:9" ht="24">
      <c r="A32" s="125" t="s">
        <v>30</v>
      </c>
      <c r="B32" s="126">
        <v>1042</v>
      </c>
      <c r="C32" s="164"/>
      <c r="D32" s="131"/>
      <c r="E32" s="131"/>
      <c r="F32" s="131"/>
      <c r="G32" s="131"/>
      <c r="H32" s="131"/>
      <c r="I32" s="131"/>
    </row>
    <row r="33" spans="1:9" ht="24">
      <c r="A33" s="125" t="s">
        <v>31</v>
      </c>
      <c r="B33" s="126">
        <v>1043</v>
      </c>
      <c r="C33" s="164"/>
      <c r="D33" s="131"/>
      <c r="E33" s="131"/>
      <c r="F33" s="131"/>
      <c r="G33" s="131"/>
      <c r="H33" s="131"/>
      <c r="I33" s="131"/>
    </row>
    <row r="34" spans="1:9" ht="12">
      <c r="A34" s="125" t="s">
        <v>32</v>
      </c>
      <c r="B34" s="126">
        <v>1044</v>
      </c>
      <c r="C34" s="164"/>
      <c r="D34" s="131"/>
      <c r="E34" s="131"/>
      <c r="F34" s="131"/>
      <c r="G34" s="131"/>
      <c r="H34" s="131"/>
      <c r="I34" s="131"/>
    </row>
    <row r="35" spans="1:9" ht="24">
      <c r="A35" s="125" t="s">
        <v>33</v>
      </c>
      <c r="B35" s="126">
        <v>1045</v>
      </c>
      <c r="C35" s="164">
        <v>11.4</v>
      </c>
      <c r="D35" s="131"/>
      <c r="E35" s="131"/>
      <c r="F35" s="131"/>
      <c r="G35" s="131"/>
      <c r="H35" s="131"/>
      <c r="I35" s="131"/>
    </row>
    <row r="36" spans="1:9" ht="12">
      <c r="A36" s="125" t="s">
        <v>34</v>
      </c>
      <c r="B36" s="126">
        <v>1046</v>
      </c>
      <c r="C36" s="164"/>
      <c r="D36" s="131"/>
      <c r="E36" s="131"/>
      <c r="F36" s="131"/>
      <c r="G36" s="131"/>
      <c r="H36" s="131"/>
      <c r="I36" s="131"/>
    </row>
    <row r="37" spans="1:9" ht="12">
      <c r="A37" s="125" t="s">
        <v>35</v>
      </c>
      <c r="B37" s="126">
        <v>1047</v>
      </c>
      <c r="C37" s="164"/>
      <c r="D37" s="131"/>
      <c r="E37" s="131"/>
      <c r="F37" s="131"/>
      <c r="G37" s="131"/>
      <c r="H37" s="131"/>
      <c r="I37" s="131"/>
    </row>
    <row r="38" spans="1:9" ht="24">
      <c r="A38" s="125" t="s">
        <v>36</v>
      </c>
      <c r="B38" s="126">
        <v>1048</v>
      </c>
      <c r="C38" s="164"/>
      <c r="D38" s="131"/>
      <c r="E38" s="131"/>
      <c r="F38" s="131"/>
      <c r="G38" s="131"/>
      <c r="H38" s="131"/>
      <c r="I38" s="131"/>
    </row>
    <row r="39" spans="1:9" ht="24">
      <c r="A39" s="125" t="s">
        <v>37</v>
      </c>
      <c r="B39" s="126">
        <v>1049</v>
      </c>
      <c r="C39" s="164">
        <v>11.8</v>
      </c>
      <c r="D39" s="131"/>
      <c r="E39" s="131"/>
      <c r="F39" s="131"/>
      <c r="G39" s="131"/>
      <c r="H39" s="131"/>
      <c r="I39" s="131"/>
    </row>
    <row r="40" spans="1:9" ht="48">
      <c r="A40" s="125" t="s">
        <v>38</v>
      </c>
      <c r="B40" s="126">
        <v>1050</v>
      </c>
      <c r="C40" s="201">
        <v>4.3</v>
      </c>
      <c r="D40" s="131"/>
      <c r="E40" s="131"/>
      <c r="F40" s="131"/>
      <c r="G40" s="131"/>
      <c r="H40" s="131"/>
      <c r="I40" s="131"/>
    </row>
    <row r="41" spans="1:9" ht="24">
      <c r="A41" s="125" t="s">
        <v>39</v>
      </c>
      <c r="B41" s="8" t="s">
        <v>40</v>
      </c>
      <c r="C41" s="164"/>
      <c r="D41" s="131"/>
      <c r="E41" s="131"/>
      <c r="F41" s="131"/>
      <c r="G41" s="131"/>
      <c r="H41" s="131"/>
      <c r="I41" s="131"/>
    </row>
    <row r="42" spans="1:9" ht="24">
      <c r="A42" s="124" t="s">
        <v>175</v>
      </c>
      <c r="B42" s="128">
        <v>1051</v>
      </c>
      <c r="C42" s="200">
        <f>C43+C44+C45+C46+C47+C48+C49++C50+C51+C52+C53+C54+C55+C56+C57+C58+C59</f>
        <v>1204</v>
      </c>
      <c r="D42" s="130">
        <f>D43+D44+D45+D46+D47+D48+D49++D50+D51+D52+D53+D54+D55+D56</f>
        <v>2603</v>
      </c>
      <c r="E42" s="130">
        <f>E43+E44+E45+E46+E47+E48+E49++E50+E51+E52+E53+E54+E55+E56+E57+E58+E59</f>
        <v>2603</v>
      </c>
      <c r="F42" s="130">
        <f>F43+F44+F45+F46+F47+F48+F49++F50+F51+F52+F53+F54+F55+F56+F57+F58+F59</f>
        <v>804</v>
      </c>
      <c r="G42" s="130">
        <f>G43+G44+G45+G46+G47+G48+G49++G50+G51+G52+G53+G54+G55+G56+G57+G58+G59</f>
        <v>795</v>
      </c>
      <c r="H42" s="130">
        <f>H43+H44+H45+H46+H47+H48+H49++H50+H51+H52+H53+H54+H55+H56+H57+H58+H59</f>
        <v>507</v>
      </c>
      <c r="I42" s="130">
        <f>I43+I44+I45+I46+I47+I48+I49++I50+I51+I52+I53+I54+I55+I56+I57+I58+I59</f>
        <v>497</v>
      </c>
    </row>
    <row r="43" spans="1:15" ht="12">
      <c r="A43" s="125" t="s">
        <v>176</v>
      </c>
      <c r="B43" s="126" t="s">
        <v>222</v>
      </c>
      <c r="C43" s="164">
        <v>801.4</v>
      </c>
      <c r="D43" s="131">
        <f>2041-D44+34</f>
        <v>1477</v>
      </c>
      <c r="E43" s="131">
        <f>2041-E44+34</f>
        <v>1477</v>
      </c>
      <c r="F43" s="131">
        <f>360+8</f>
        <v>368</v>
      </c>
      <c r="G43" s="131">
        <f>361+8</f>
        <v>369</v>
      </c>
      <c r="H43" s="131">
        <f>361+9</f>
        <v>370</v>
      </c>
      <c r="I43" s="131">
        <f>361+9</f>
        <v>370</v>
      </c>
      <c r="J43" s="132"/>
      <c r="K43" s="132"/>
      <c r="L43" s="132"/>
      <c r="M43" s="132"/>
      <c r="N43" s="132"/>
      <c r="O43" s="132"/>
    </row>
    <row r="44" spans="1:15" ht="24">
      <c r="A44" s="125" t="s">
        <v>177</v>
      </c>
      <c r="B44" s="126" t="s">
        <v>223</v>
      </c>
      <c r="C44" s="164">
        <v>189.3</v>
      </c>
      <c r="D44" s="131">
        <v>598</v>
      </c>
      <c r="E44" s="131">
        <v>598</v>
      </c>
      <c r="F44" s="131">
        <v>299</v>
      </c>
      <c r="G44" s="131">
        <v>299</v>
      </c>
      <c r="H44" s="131"/>
      <c r="I44" s="131"/>
      <c r="J44" s="132"/>
      <c r="K44" s="132"/>
      <c r="L44" s="132"/>
      <c r="M44" s="132"/>
      <c r="N44" s="132"/>
      <c r="O44" s="132"/>
    </row>
    <row r="45" spans="1:15" ht="12">
      <c r="A45" s="125" t="s">
        <v>178</v>
      </c>
      <c r="B45" s="126" t="s">
        <v>224</v>
      </c>
      <c r="C45" s="201">
        <v>14.6</v>
      </c>
      <c r="D45" s="131">
        <v>19</v>
      </c>
      <c r="E45" s="131">
        <v>19</v>
      </c>
      <c r="F45" s="131">
        <v>10</v>
      </c>
      <c r="G45" s="131"/>
      <c r="H45" s="131">
        <v>9</v>
      </c>
      <c r="I45" s="131"/>
      <c r="J45" s="132"/>
      <c r="K45" s="132"/>
      <c r="L45" s="132"/>
      <c r="M45" s="132"/>
      <c r="N45" s="132"/>
      <c r="O45" s="132"/>
    </row>
    <row r="46" spans="1:15" ht="12">
      <c r="A46" s="125" t="s">
        <v>179</v>
      </c>
      <c r="B46" s="126" t="s">
        <v>225</v>
      </c>
      <c r="C46" s="201">
        <v>15.3</v>
      </c>
      <c r="D46" s="131">
        <v>42</v>
      </c>
      <c r="E46" s="131">
        <v>42</v>
      </c>
      <c r="F46" s="131">
        <v>10</v>
      </c>
      <c r="G46" s="131">
        <v>10</v>
      </c>
      <c r="H46" s="131">
        <v>11</v>
      </c>
      <c r="I46" s="131">
        <v>11</v>
      </c>
      <c r="J46" s="132"/>
      <c r="K46" s="132"/>
      <c r="L46" s="132"/>
      <c r="M46" s="132"/>
      <c r="N46" s="132"/>
      <c r="O46" s="132"/>
    </row>
    <row r="47" spans="1:15" ht="13.5" customHeight="1">
      <c r="A47" s="125" t="s">
        <v>180</v>
      </c>
      <c r="B47" s="126" t="s">
        <v>226</v>
      </c>
      <c r="C47" s="201">
        <v>17</v>
      </c>
      <c r="D47" s="131">
        <v>66</v>
      </c>
      <c r="E47" s="131">
        <v>66</v>
      </c>
      <c r="F47" s="131">
        <v>16</v>
      </c>
      <c r="G47" s="131">
        <v>16</v>
      </c>
      <c r="H47" s="131">
        <v>17</v>
      </c>
      <c r="I47" s="131">
        <v>17</v>
      </c>
      <c r="J47" s="132"/>
      <c r="K47" s="132"/>
      <c r="L47" s="132"/>
      <c r="M47" s="132"/>
      <c r="N47" s="132"/>
      <c r="O47" s="132"/>
    </row>
    <row r="48" spans="1:15" ht="13.5" customHeight="1">
      <c r="A48" s="125" t="s">
        <v>181</v>
      </c>
      <c r="B48" s="126" t="s">
        <v>227</v>
      </c>
      <c r="C48" s="201">
        <v>8.2</v>
      </c>
      <c r="D48" s="131">
        <v>24</v>
      </c>
      <c r="E48" s="131">
        <v>24</v>
      </c>
      <c r="F48" s="131">
        <v>6</v>
      </c>
      <c r="G48" s="131">
        <v>6</v>
      </c>
      <c r="H48" s="131">
        <v>6</v>
      </c>
      <c r="I48" s="131">
        <v>6</v>
      </c>
      <c r="J48" s="132"/>
      <c r="K48" s="132"/>
      <c r="L48" s="132"/>
      <c r="M48" s="132"/>
      <c r="N48" s="132"/>
      <c r="O48" s="132"/>
    </row>
    <row r="49" spans="1:15" ht="12">
      <c r="A49" s="125" t="s">
        <v>182</v>
      </c>
      <c r="B49" s="126" t="s">
        <v>228</v>
      </c>
      <c r="C49" s="201">
        <v>141.4</v>
      </c>
      <c r="D49" s="131">
        <v>372</v>
      </c>
      <c r="E49" s="131">
        <v>372</v>
      </c>
      <c r="F49" s="131">
        <v>93</v>
      </c>
      <c r="G49" s="131">
        <v>93</v>
      </c>
      <c r="H49" s="131">
        <v>93</v>
      </c>
      <c r="I49" s="131">
        <v>93</v>
      </c>
      <c r="J49" s="132"/>
      <c r="K49" s="132"/>
      <c r="L49" s="132"/>
      <c r="M49" s="132"/>
      <c r="N49" s="132"/>
      <c r="O49" s="132"/>
    </row>
    <row r="50" spans="1:15" ht="24">
      <c r="A50" s="125" t="s">
        <v>183</v>
      </c>
      <c r="B50" s="126" t="s">
        <v>229</v>
      </c>
      <c r="C50" s="201"/>
      <c r="D50" s="131">
        <v>2</v>
      </c>
      <c r="E50" s="131">
        <v>2</v>
      </c>
      <c r="F50" s="131">
        <v>1</v>
      </c>
      <c r="G50" s="131"/>
      <c r="H50" s="131">
        <v>1</v>
      </c>
      <c r="I50" s="131"/>
      <c r="J50" s="132"/>
      <c r="K50" s="132"/>
      <c r="L50" s="132"/>
      <c r="M50" s="132"/>
      <c r="N50" s="132"/>
      <c r="O50" s="132"/>
    </row>
    <row r="51" spans="1:15" ht="24">
      <c r="A51" s="125" t="s">
        <v>184</v>
      </c>
      <c r="B51" s="126" t="s">
        <v>230</v>
      </c>
      <c r="C51" s="201">
        <v>3.3</v>
      </c>
      <c r="D51" s="131">
        <v>1</v>
      </c>
      <c r="E51" s="131">
        <v>1</v>
      </c>
      <c r="F51" s="131">
        <v>1</v>
      </c>
      <c r="G51" s="131"/>
      <c r="H51" s="131"/>
      <c r="I51" s="131"/>
      <c r="J51" s="132"/>
      <c r="K51" s="132"/>
      <c r="L51" s="132"/>
      <c r="M51" s="132"/>
      <c r="N51" s="132"/>
      <c r="O51" s="132"/>
    </row>
    <row r="52" spans="1:15" ht="24">
      <c r="A52" s="125" t="s">
        <v>185</v>
      </c>
      <c r="B52" s="126" t="s">
        <v>231</v>
      </c>
      <c r="C52" s="201">
        <v>3.4</v>
      </c>
      <c r="D52" s="131"/>
      <c r="E52" s="131"/>
      <c r="F52" s="131"/>
      <c r="G52" s="131"/>
      <c r="H52" s="131"/>
      <c r="I52" s="131"/>
      <c r="J52" s="132"/>
      <c r="K52" s="132"/>
      <c r="L52" s="132"/>
      <c r="M52" s="132"/>
      <c r="N52" s="132"/>
      <c r="O52" s="132"/>
    </row>
    <row r="53" spans="1:15" ht="12">
      <c r="A53" s="125" t="s">
        <v>186</v>
      </c>
      <c r="B53" s="126" t="s">
        <v>232</v>
      </c>
      <c r="C53" s="201">
        <v>2</v>
      </c>
      <c r="D53" s="131"/>
      <c r="E53" s="131"/>
      <c r="F53" s="131"/>
      <c r="G53" s="131"/>
      <c r="H53" s="131"/>
      <c r="I53" s="131"/>
      <c r="J53" s="132"/>
      <c r="K53" s="132"/>
      <c r="L53" s="132"/>
      <c r="M53" s="132"/>
      <c r="N53" s="132"/>
      <c r="O53" s="132"/>
    </row>
    <row r="54" spans="1:15" ht="24">
      <c r="A54" s="125" t="s">
        <v>187</v>
      </c>
      <c r="B54" s="126" t="s">
        <v>233</v>
      </c>
      <c r="C54" s="201"/>
      <c r="D54" s="131">
        <v>2</v>
      </c>
      <c r="E54" s="131">
        <v>2</v>
      </c>
      <c r="F54" s="131"/>
      <c r="G54" s="131">
        <v>2</v>
      </c>
      <c r="H54" s="131"/>
      <c r="I54" s="131"/>
      <c r="J54" s="132"/>
      <c r="K54" s="132"/>
      <c r="L54" s="132"/>
      <c r="M54" s="132"/>
      <c r="N54" s="132"/>
      <c r="O54" s="132"/>
    </row>
    <row r="55" spans="1:15" ht="12">
      <c r="A55" s="125" t="s">
        <v>188</v>
      </c>
      <c r="B55" s="126" t="s">
        <v>234</v>
      </c>
      <c r="C55" s="201">
        <f>'ІІ Розр з бюджетом'!C31</f>
        <v>1.3</v>
      </c>
      <c r="D55" s="131"/>
      <c r="E55" s="131"/>
      <c r="F55" s="131"/>
      <c r="G55" s="131"/>
      <c r="H55" s="131"/>
      <c r="I55" s="131"/>
      <c r="J55" s="132"/>
      <c r="K55" s="132"/>
      <c r="L55" s="132"/>
      <c r="M55" s="132"/>
      <c r="N55" s="132"/>
      <c r="O55" s="132"/>
    </row>
    <row r="56" spans="1:15" ht="24">
      <c r="A56" s="125" t="s">
        <v>189</v>
      </c>
      <c r="B56" s="126" t="s">
        <v>235</v>
      </c>
      <c r="C56" s="201">
        <f>'ІІ Розр з бюджетом'!C32</f>
        <v>6.5</v>
      </c>
      <c r="D56" s="131"/>
      <c r="E56" s="131"/>
      <c r="F56" s="131"/>
      <c r="G56" s="131"/>
      <c r="H56" s="131"/>
      <c r="I56" s="131"/>
      <c r="J56" s="132"/>
      <c r="K56" s="132"/>
      <c r="L56" s="132"/>
      <c r="M56" s="132"/>
      <c r="N56" s="132"/>
      <c r="O56" s="132"/>
    </row>
    <row r="57" spans="1:15" ht="24">
      <c r="A57" s="125" t="s">
        <v>190</v>
      </c>
      <c r="B57" s="126" t="s">
        <v>236</v>
      </c>
      <c r="C57" s="201"/>
      <c r="D57" s="131"/>
      <c r="E57" s="131"/>
      <c r="F57" s="131"/>
      <c r="G57" s="131"/>
      <c r="H57" s="131"/>
      <c r="I57" s="131"/>
      <c r="J57" s="132"/>
      <c r="K57" s="132"/>
      <c r="L57" s="132"/>
      <c r="M57" s="132"/>
      <c r="N57" s="132"/>
      <c r="O57" s="132"/>
    </row>
    <row r="58" spans="1:15" ht="12">
      <c r="A58" s="125" t="s">
        <v>191</v>
      </c>
      <c r="B58" s="126" t="s">
        <v>237</v>
      </c>
      <c r="C58" s="201"/>
      <c r="D58" s="131"/>
      <c r="E58" s="131"/>
      <c r="F58" s="131"/>
      <c r="G58" s="131"/>
      <c r="H58" s="131"/>
      <c r="I58" s="131"/>
      <c r="J58" s="132"/>
      <c r="K58" s="132"/>
      <c r="L58" s="132"/>
      <c r="M58" s="132"/>
      <c r="N58" s="132"/>
      <c r="O58" s="132"/>
    </row>
    <row r="59" spans="1:15" ht="12" customHeight="1">
      <c r="A59" s="125" t="s">
        <v>192</v>
      </c>
      <c r="B59" s="126" t="s">
        <v>238</v>
      </c>
      <c r="C59" s="201">
        <f>'ІІ Розр з бюджетом'!C27</f>
        <v>0.3</v>
      </c>
      <c r="D59" s="131"/>
      <c r="E59" s="131"/>
      <c r="F59" s="131"/>
      <c r="G59" s="131"/>
      <c r="H59" s="131"/>
      <c r="I59" s="131"/>
      <c r="J59" s="132"/>
      <c r="K59" s="132"/>
      <c r="L59" s="132"/>
      <c r="M59" s="132"/>
      <c r="N59" s="132"/>
      <c r="O59" s="132"/>
    </row>
    <row r="60" spans="1:9" ht="12">
      <c r="A60" s="125" t="s">
        <v>41</v>
      </c>
      <c r="B60" s="126">
        <v>1060</v>
      </c>
      <c r="C60" s="164"/>
      <c r="D60" s="131"/>
      <c r="E60" s="131"/>
      <c r="F60" s="131"/>
      <c r="G60" s="131"/>
      <c r="H60" s="131"/>
      <c r="I60" s="131"/>
    </row>
    <row r="61" spans="1:9" ht="12">
      <c r="A61" s="125" t="s">
        <v>42</v>
      </c>
      <c r="B61" s="126">
        <v>1061</v>
      </c>
      <c r="C61" s="164"/>
      <c r="D61" s="131"/>
      <c r="E61" s="131"/>
      <c r="F61" s="131"/>
      <c r="G61" s="131"/>
      <c r="H61" s="131"/>
      <c r="I61" s="131"/>
    </row>
    <row r="62" spans="1:9" ht="12">
      <c r="A62" s="125" t="s">
        <v>43</v>
      </c>
      <c r="B62" s="126">
        <v>1062</v>
      </c>
      <c r="C62" s="164"/>
      <c r="D62" s="131"/>
      <c r="E62" s="131"/>
      <c r="F62" s="131"/>
      <c r="G62" s="131"/>
      <c r="H62" s="131"/>
      <c r="I62" s="131"/>
    </row>
    <row r="63" spans="1:9" ht="12">
      <c r="A63" s="125" t="s">
        <v>27</v>
      </c>
      <c r="B63" s="126">
        <v>1063</v>
      </c>
      <c r="C63" s="164"/>
      <c r="D63" s="131"/>
      <c r="E63" s="131"/>
      <c r="F63" s="131"/>
      <c r="G63" s="131"/>
      <c r="H63" s="131"/>
      <c r="I63" s="131"/>
    </row>
    <row r="64" spans="1:9" ht="12">
      <c r="A64" s="125" t="s">
        <v>28</v>
      </c>
      <c r="B64" s="126">
        <v>1064</v>
      </c>
      <c r="C64" s="164"/>
      <c r="D64" s="131"/>
      <c r="E64" s="131"/>
      <c r="F64" s="131"/>
      <c r="G64" s="131"/>
      <c r="H64" s="131"/>
      <c r="I64" s="131"/>
    </row>
    <row r="65" spans="1:9" ht="24">
      <c r="A65" s="125" t="s">
        <v>44</v>
      </c>
      <c r="B65" s="126">
        <v>1065</v>
      </c>
      <c r="C65" s="164"/>
      <c r="D65" s="131"/>
      <c r="E65" s="131"/>
      <c r="F65" s="131"/>
      <c r="G65" s="131"/>
      <c r="H65" s="131"/>
      <c r="I65" s="131"/>
    </row>
    <row r="66" spans="1:9" ht="12">
      <c r="A66" s="125" t="s">
        <v>45</v>
      </c>
      <c r="B66" s="126">
        <v>1066</v>
      </c>
      <c r="C66" s="164"/>
      <c r="D66" s="131"/>
      <c r="E66" s="131"/>
      <c r="F66" s="131"/>
      <c r="G66" s="131"/>
      <c r="H66" s="131"/>
      <c r="I66" s="131"/>
    </row>
    <row r="67" spans="1:9" ht="12">
      <c r="A67" s="125" t="s">
        <v>46</v>
      </c>
      <c r="B67" s="126">
        <v>1067</v>
      </c>
      <c r="C67" s="164"/>
      <c r="D67" s="131"/>
      <c r="E67" s="131"/>
      <c r="F67" s="131"/>
      <c r="G67" s="131"/>
      <c r="H67" s="131"/>
      <c r="I67" s="131"/>
    </row>
    <row r="68" spans="1:9" ht="24">
      <c r="A68" s="124" t="s">
        <v>193</v>
      </c>
      <c r="B68" s="128">
        <v>1070</v>
      </c>
      <c r="C68" s="200">
        <f>C69+C70+C71+C72+C73+C74</f>
        <v>42280.200000000004</v>
      </c>
      <c r="D68" s="130">
        <f aca="true" t="shared" si="3" ref="D68:I68">D69+D70+D71+D72+D73+D74</f>
        <v>13896</v>
      </c>
      <c r="E68" s="130">
        <f>E69+E70+E71+E72+E73+E74</f>
        <v>15042</v>
      </c>
      <c r="F68" s="130">
        <f t="shared" si="3"/>
        <v>3260</v>
      </c>
      <c r="G68" s="130">
        <f t="shared" si="3"/>
        <v>4554</v>
      </c>
      <c r="H68" s="130">
        <f t="shared" si="3"/>
        <v>4284</v>
      </c>
      <c r="I68" s="130">
        <f t="shared" si="3"/>
        <v>2944</v>
      </c>
    </row>
    <row r="69" spans="1:9" ht="48">
      <c r="A69" s="125" t="s">
        <v>194</v>
      </c>
      <c r="B69" s="126" t="s">
        <v>239</v>
      </c>
      <c r="C69" s="164">
        <v>9174.6</v>
      </c>
      <c r="D69" s="131">
        <f>17213-5783+633+1076</f>
        <v>13139</v>
      </c>
      <c r="E69" s="131">
        <f>17213-5783+633+1076+1146</f>
        <v>14285</v>
      </c>
      <c r="F69" s="131">
        <v>3072</v>
      </c>
      <c r="G69" s="131">
        <f>3289+1076</f>
        <v>4365</v>
      </c>
      <c r="H69" s="131">
        <f>2948+1146</f>
        <v>4094</v>
      </c>
      <c r="I69" s="131">
        <v>2754</v>
      </c>
    </row>
    <row r="70" spans="1:9" ht="72">
      <c r="A70" s="125" t="s">
        <v>310</v>
      </c>
      <c r="B70" s="126" t="s">
        <v>240</v>
      </c>
      <c r="C70" s="164">
        <v>43</v>
      </c>
      <c r="D70" s="131"/>
      <c r="E70" s="131"/>
      <c r="F70" s="131"/>
      <c r="G70" s="131"/>
      <c r="H70" s="131"/>
      <c r="I70" s="131"/>
    </row>
    <row r="71" spans="1:9" ht="60">
      <c r="A71" s="125" t="s">
        <v>195</v>
      </c>
      <c r="B71" s="126" t="s">
        <v>241</v>
      </c>
      <c r="C71" s="164">
        <f>C30</f>
        <v>32961.100000000006</v>
      </c>
      <c r="D71" s="131">
        <v>723</v>
      </c>
      <c r="E71" s="131">
        <v>723</v>
      </c>
      <c r="F71" s="131">
        <v>180</v>
      </c>
      <c r="G71" s="131">
        <v>181</v>
      </c>
      <c r="H71" s="131">
        <v>181</v>
      </c>
      <c r="I71" s="131">
        <v>181</v>
      </c>
    </row>
    <row r="72" spans="1:9" ht="24">
      <c r="A72" s="125" t="s">
        <v>196</v>
      </c>
      <c r="B72" s="126" t="s">
        <v>242</v>
      </c>
      <c r="C72" s="164">
        <f>'ІІІ Рух грошових коштів'!C20</f>
        <v>46.1</v>
      </c>
      <c r="D72" s="131"/>
      <c r="E72" s="131"/>
      <c r="F72" s="131"/>
      <c r="G72" s="131"/>
      <c r="H72" s="131"/>
      <c r="I72" s="131"/>
    </row>
    <row r="73" spans="1:9" ht="36">
      <c r="A73" s="133" t="s">
        <v>197</v>
      </c>
      <c r="B73" s="126" t="s">
        <v>315</v>
      </c>
      <c r="C73" s="164">
        <f>'ІІІ Рух грошових коштів'!C16</f>
        <v>22.3</v>
      </c>
      <c r="D73" s="131"/>
      <c r="E73" s="131"/>
      <c r="F73" s="131"/>
      <c r="G73" s="131"/>
      <c r="H73" s="131"/>
      <c r="I73" s="131"/>
    </row>
    <row r="74" spans="1:9" ht="12">
      <c r="A74" s="133" t="s">
        <v>198</v>
      </c>
      <c r="B74" s="126" t="s">
        <v>243</v>
      </c>
      <c r="C74" s="164">
        <f>'ІІІ Рух грошових коштів'!C17</f>
        <v>33.1</v>
      </c>
      <c r="D74" s="131">
        <v>34</v>
      </c>
      <c r="E74" s="131">
        <v>34</v>
      </c>
      <c r="F74" s="131">
        <v>8</v>
      </c>
      <c r="G74" s="131">
        <v>8</v>
      </c>
      <c r="H74" s="131">
        <v>9</v>
      </c>
      <c r="I74" s="131">
        <v>9</v>
      </c>
    </row>
    <row r="75" spans="1:9" ht="24">
      <c r="A75" s="134" t="s">
        <v>47</v>
      </c>
      <c r="B75" s="128">
        <v>1080</v>
      </c>
      <c r="C75" s="200">
        <f>C76+C77+C78+C79+C80+C81+C82+C83+C84+C85+C86+C87+C88+C89+C90+C91+C92+C93+C94+C95+C96+C97+C98</f>
        <v>1789.6</v>
      </c>
      <c r="D75" s="130">
        <f aca="true" t="shared" si="4" ref="D75:I75">D76+D77+D78+D79+D80+D81+D82+D83+D84+D85+D86+D87+D88+D89+D90+D91+D92+D93+D94+D95+D96+D97</f>
        <v>2085</v>
      </c>
      <c r="E75" s="130">
        <f>E76+E77+E78+E79+E80+E81+E82+E83+E84+E85+E86+E87+E88+E89+E90+E91+E92+E93+E94+E95+E96+E97</f>
        <v>3231</v>
      </c>
      <c r="F75" s="130">
        <f t="shared" si="4"/>
        <v>155</v>
      </c>
      <c r="G75" s="130">
        <f t="shared" si="4"/>
        <v>1455</v>
      </c>
      <c r="H75" s="130">
        <f t="shared" si="4"/>
        <v>1476</v>
      </c>
      <c r="I75" s="130">
        <f t="shared" si="4"/>
        <v>145</v>
      </c>
    </row>
    <row r="76" spans="1:15" ht="24">
      <c r="A76" s="135" t="s">
        <v>199</v>
      </c>
      <c r="B76" s="126" t="s">
        <v>244</v>
      </c>
      <c r="C76" s="164">
        <v>1.2</v>
      </c>
      <c r="D76" s="131">
        <v>3</v>
      </c>
      <c r="E76" s="131">
        <v>3</v>
      </c>
      <c r="F76" s="131"/>
      <c r="G76" s="131">
        <v>1</v>
      </c>
      <c r="H76" s="131">
        <v>1</v>
      </c>
      <c r="I76" s="131">
        <v>1</v>
      </c>
      <c r="J76" s="136"/>
      <c r="K76" s="136"/>
      <c r="L76" s="136"/>
      <c r="M76" s="136"/>
      <c r="N76" s="136"/>
      <c r="O76" s="136"/>
    </row>
    <row r="77" spans="1:15" ht="12">
      <c r="A77" s="135" t="s">
        <v>200</v>
      </c>
      <c r="B77" s="126" t="s">
        <v>324</v>
      </c>
      <c r="C77" s="164">
        <v>389.7</v>
      </c>
      <c r="D77" s="131">
        <v>412</v>
      </c>
      <c r="E77" s="131">
        <v>412</v>
      </c>
      <c r="F77" s="131">
        <v>103</v>
      </c>
      <c r="G77" s="131">
        <v>103</v>
      </c>
      <c r="H77" s="131">
        <v>103</v>
      </c>
      <c r="I77" s="131">
        <v>103</v>
      </c>
      <c r="J77" s="136"/>
      <c r="K77" s="136"/>
      <c r="L77" s="136"/>
      <c r="M77" s="136"/>
      <c r="N77" s="136"/>
      <c r="O77" s="136"/>
    </row>
    <row r="78" spans="1:15" ht="24">
      <c r="A78" s="135" t="s">
        <v>201</v>
      </c>
      <c r="B78" s="126" t="s">
        <v>245</v>
      </c>
      <c r="C78" s="164"/>
      <c r="D78" s="131">
        <v>1</v>
      </c>
      <c r="E78" s="131">
        <v>1</v>
      </c>
      <c r="F78" s="131"/>
      <c r="G78" s="131"/>
      <c r="H78" s="131">
        <v>1</v>
      </c>
      <c r="I78" s="131"/>
      <c r="J78" s="136"/>
      <c r="K78" s="136"/>
      <c r="L78" s="136"/>
      <c r="M78" s="136"/>
      <c r="N78" s="136"/>
      <c r="O78" s="136"/>
    </row>
    <row r="79" spans="1:15" ht="36">
      <c r="A79" s="135" t="s">
        <v>202</v>
      </c>
      <c r="B79" s="126" t="s">
        <v>325</v>
      </c>
      <c r="C79" s="164">
        <f>37.6</f>
        <v>37.6</v>
      </c>
      <c r="D79" s="131">
        <v>46</v>
      </c>
      <c r="E79" s="131">
        <v>46</v>
      </c>
      <c r="F79" s="131"/>
      <c r="G79" s="131">
        <v>23</v>
      </c>
      <c r="H79" s="131">
        <v>23</v>
      </c>
      <c r="I79" s="131"/>
      <c r="J79" s="136"/>
      <c r="K79" s="136"/>
      <c r="L79" s="136"/>
      <c r="M79" s="136"/>
      <c r="N79" s="136"/>
      <c r="O79" s="136"/>
    </row>
    <row r="80" spans="1:15" ht="36">
      <c r="A80" s="135" t="s">
        <v>203</v>
      </c>
      <c r="B80" s="126" t="s">
        <v>246</v>
      </c>
      <c r="C80" s="164">
        <v>286.5</v>
      </c>
      <c r="D80" s="131">
        <v>304</v>
      </c>
      <c r="E80" s="131">
        <v>304</v>
      </c>
      <c r="F80" s="131"/>
      <c r="G80" s="131">
        <v>152</v>
      </c>
      <c r="H80" s="131">
        <v>152</v>
      </c>
      <c r="I80" s="131"/>
      <c r="J80" s="136"/>
      <c r="K80" s="136"/>
      <c r="L80" s="136"/>
      <c r="M80" s="136"/>
      <c r="N80" s="136"/>
      <c r="O80" s="136"/>
    </row>
    <row r="81" spans="1:15" ht="24">
      <c r="A81" s="135" t="s">
        <v>204</v>
      </c>
      <c r="B81" s="126" t="s">
        <v>247</v>
      </c>
      <c r="C81" s="164">
        <v>21.5</v>
      </c>
      <c r="D81" s="131">
        <v>23</v>
      </c>
      <c r="E81" s="131">
        <v>23</v>
      </c>
      <c r="F81" s="131"/>
      <c r="G81" s="131">
        <v>23</v>
      </c>
      <c r="H81" s="131"/>
      <c r="I81" s="131"/>
      <c r="J81" s="136"/>
      <c r="K81" s="136"/>
      <c r="L81" s="136"/>
      <c r="M81" s="136"/>
      <c r="N81" s="136"/>
      <c r="O81" s="136"/>
    </row>
    <row r="82" spans="1:15" ht="24">
      <c r="A82" s="135" t="s">
        <v>205</v>
      </c>
      <c r="B82" s="126" t="s">
        <v>248</v>
      </c>
      <c r="C82" s="164">
        <v>26.9</v>
      </c>
      <c r="D82" s="131">
        <v>35</v>
      </c>
      <c r="E82" s="131">
        <v>35</v>
      </c>
      <c r="F82" s="131">
        <v>8</v>
      </c>
      <c r="G82" s="131">
        <v>9</v>
      </c>
      <c r="H82" s="131">
        <v>9</v>
      </c>
      <c r="I82" s="131">
        <v>9</v>
      </c>
      <c r="J82" s="136"/>
      <c r="K82" s="136"/>
      <c r="L82" s="136"/>
      <c r="M82" s="136"/>
      <c r="N82" s="136"/>
      <c r="O82" s="136"/>
    </row>
    <row r="83" spans="1:15" ht="12">
      <c r="A83" s="135" t="s">
        <v>206</v>
      </c>
      <c r="B83" s="126" t="s">
        <v>249</v>
      </c>
      <c r="C83" s="164">
        <v>42.5</v>
      </c>
      <c r="D83" s="131">
        <v>119</v>
      </c>
      <c r="E83" s="131">
        <v>119</v>
      </c>
      <c r="F83" s="131">
        <v>29</v>
      </c>
      <c r="G83" s="131">
        <v>30</v>
      </c>
      <c r="H83" s="131">
        <v>30</v>
      </c>
      <c r="I83" s="131">
        <v>30</v>
      </c>
      <c r="J83" s="136"/>
      <c r="K83" s="136"/>
      <c r="L83" s="136"/>
      <c r="M83" s="136"/>
      <c r="N83" s="136"/>
      <c r="O83" s="136"/>
    </row>
    <row r="84" spans="1:15" ht="12">
      <c r="A84" s="135" t="s">
        <v>207</v>
      </c>
      <c r="B84" s="126" t="s">
        <v>250</v>
      </c>
      <c r="C84" s="164">
        <v>23</v>
      </c>
      <c r="D84" s="131"/>
      <c r="E84" s="131"/>
      <c r="F84" s="131"/>
      <c r="G84" s="131"/>
      <c r="H84" s="131"/>
      <c r="I84" s="131"/>
      <c r="J84" s="136"/>
      <c r="K84" s="136"/>
      <c r="L84" s="136"/>
      <c r="M84" s="136"/>
      <c r="N84" s="136"/>
      <c r="O84" s="136"/>
    </row>
    <row r="85" spans="1:15" ht="24">
      <c r="A85" s="135" t="s">
        <v>208</v>
      </c>
      <c r="B85" s="126" t="s">
        <v>326</v>
      </c>
      <c r="C85" s="164"/>
      <c r="D85" s="131">
        <v>15</v>
      </c>
      <c r="E85" s="131">
        <v>15</v>
      </c>
      <c r="F85" s="131"/>
      <c r="G85" s="131">
        <v>7</v>
      </c>
      <c r="H85" s="131">
        <v>8</v>
      </c>
      <c r="I85" s="131"/>
      <c r="J85" s="136"/>
      <c r="K85" s="136"/>
      <c r="L85" s="136"/>
      <c r="M85" s="136"/>
      <c r="N85" s="136"/>
      <c r="O85" s="136"/>
    </row>
    <row r="86" spans="1:15" ht="12">
      <c r="A86" s="135" t="s">
        <v>209</v>
      </c>
      <c r="B86" s="126" t="s">
        <v>251</v>
      </c>
      <c r="C86" s="164">
        <f>'ІV Кап інвестиції'!C10</f>
        <v>119.7</v>
      </c>
      <c r="D86" s="131"/>
      <c r="E86" s="131"/>
      <c r="F86" s="131"/>
      <c r="G86" s="131"/>
      <c r="H86" s="131"/>
      <c r="I86" s="131"/>
      <c r="J86" s="136"/>
      <c r="K86" s="136"/>
      <c r="L86" s="136"/>
      <c r="M86" s="136"/>
      <c r="N86" s="136"/>
      <c r="O86" s="136"/>
    </row>
    <row r="87" spans="1:15" ht="24">
      <c r="A87" s="135" t="s">
        <v>210</v>
      </c>
      <c r="B87" s="126" t="s">
        <v>327</v>
      </c>
      <c r="C87" s="164">
        <f>'ІV Кап інвестиції'!C9</f>
        <v>619.2</v>
      </c>
      <c r="D87" s="131">
        <f>(5783-5783)+1076</f>
        <v>1076</v>
      </c>
      <c r="E87" s="131">
        <f>(5783-5783)+1076+1146</f>
        <v>2222</v>
      </c>
      <c r="F87" s="131"/>
      <c r="G87" s="131">
        <f>(1340-1340)+1076</f>
        <v>1076</v>
      </c>
      <c r="H87" s="131">
        <f>(4443-4443)+1146</f>
        <v>1146</v>
      </c>
      <c r="I87" s="131"/>
      <c r="J87" s="136"/>
      <c r="K87" s="136"/>
      <c r="L87" s="136"/>
      <c r="M87" s="136"/>
      <c r="N87" s="136"/>
      <c r="O87" s="136"/>
    </row>
    <row r="88" spans="1:15" ht="24">
      <c r="A88" s="135" t="s">
        <v>211</v>
      </c>
      <c r="B88" s="126" t="s">
        <v>252</v>
      </c>
      <c r="C88" s="164"/>
      <c r="D88" s="131">
        <v>2</v>
      </c>
      <c r="E88" s="131">
        <v>2</v>
      </c>
      <c r="F88" s="131"/>
      <c r="G88" s="131"/>
      <c r="H88" s="131">
        <v>2</v>
      </c>
      <c r="I88" s="131"/>
      <c r="J88" s="136"/>
      <c r="K88" s="136"/>
      <c r="L88" s="136"/>
      <c r="M88" s="136"/>
      <c r="N88" s="136"/>
      <c r="O88" s="136"/>
    </row>
    <row r="89" spans="1:15" ht="36">
      <c r="A89" s="135" t="s">
        <v>212</v>
      </c>
      <c r="B89" s="126" t="s">
        <v>328</v>
      </c>
      <c r="C89" s="164"/>
      <c r="D89" s="131">
        <v>3</v>
      </c>
      <c r="E89" s="131">
        <v>3</v>
      </c>
      <c r="F89" s="131">
        <v>3</v>
      </c>
      <c r="G89" s="131"/>
      <c r="H89" s="131"/>
      <c r="I89" s="131"/>
      <c r="J89" s="136"/>
      <c r="K89" s="136"/>
      <c r="L89" s="136"/>
      <c r="M89" s="136"/>
      <c r="N89" s="136"/>
      <c r="O89" s="136"/>
    </row>
    <row r="90" spans="1:15" ht="24">
      <c r="A90" s="135" t="s">
        <v>213</v>
      </c>
      <c r="B90" s="126" t="s">
        <v>253</v>
      </c>
      <c r="C90" s="164"/>
      <c r="D90" s="131">
        <v>2</v>
      </c>
      <c r="E90" s="131">
        <v>2</v>
      </c>
      <c r="F90" s="131"/>
      <c r="G90" s="131">
        <v>1</v>
      </c>
      <c r="H90" s="131"/>
      <c r="I90" s="131">
        <v>1</v>
      </c>
      <c r="J90" s="136"/>
      <c r="K90" s="136"/>
      <c r="L90" s="136"/>
      <c r="M90" s="136"/>
      <c r="N90" s="136"/>
      <c r="O90" s="136"/>
    </row>
    <row r="91" spans="1:15" ht="12">
      <c r="A91" s="137" t="s">
        <v>214</v>
      </c>
      <c r="B91" s="126" t="s">
        <v>254</v>
      </c>
      <c r="C91" s="164"/>
      <c r="D91" s="131">
        <v>5</v>
      </c>
      <c r="E91" s="131">
        <v>5</v>
      </c>
      <c r="F91" s="131">
        <v>3</v>
      </c>
      <c r="G91" s="131"/>
      <c r="H91" s="131">
        <v>1</v>
      </c>
      <c r="I91" s="131">
        <v>1</v>
      </c>
      <c r="J91" s="136"/>
      <c r="K91" s="136"/>
      <c r="L91" s="136"/>
      <c r="M91" s="136"/>
      <c r="N91" s="136"/>
      <c r="O91" s="136"/>
    </row>
    <row r="92" spans="1:15" ht="12">
      <c r="A92" s="135" t="s">
        <v>215</v>
      </c>
      <c r="B92" s="126" t="s">
        <v>255</v>
      </c>
      <c r="C92" s="164"/>
      <c r="D92" s="131">
        <v>17</v>
      </c>
      <c r="E92" s="131">
        <v>17</v>
      </c>
      <c r="F92" s="131">
        <v>9</v>
      </c>
      <c r="G92" s="131">
        <v>8</v>
      </c>
      <c r="H92" s="131"/>
      <c r="I92" s="131"/>
      <c r="J92" s="136"/>
      <c r="K92" s="136"/>
      <c r="L92" s="136"/>
      <c r="M92" s="136"/>
      <c r="N92" s="136"/>
      <c r="O92" s="136"/>
    </row>
    <row r="93" spans="1:15" ht="12">
      <c r="A93" s="135" t="s">
        <v>316</v>
      </c>
      <c r="B93" s="126" t="s">
        <v>256</v>
      </c>
      <c r="C93" s="164">
        <f>'ІІІ Рух грошових коштів'!C20</f>
        <v>46.1</v>
      </c>
      <c r="D93" s="131"/>
      <c r="E93" s="131"/>
      <c r="F93" s="131"/>
      <c r="G93" s="131"/>
      <c r="H93" s="131"/>
      <c r="I93" s="131"/>
      <c r="J93" s="136"/>
      <c r="K93" s="136"/>
      <c r="L93" s="136"/>
      <c r="M93" s="136"/>
      <c r="N93" s="136"/>
      <c r="O93" s="136"/>
    </row>
    <row r="94" spans="1:15" ht="24">
      <c r="A94" s="135" t="s">
        <v>216</v>
      </c>
      <c r="B94" s="126" t="s">
        <v>257</v>
      </c>
      <c r="C94" s="164">
        <v>117.1</v>
      </c>
      <c r="D94" s="131"/>
      <c r="E94" s="131"/>
      <c r="F94" s="131"/>
      <c r="G94" s="131"/>
      <c r="H94" s="131"/>
      <c r="I94" s="131"/>
      <c r="J94" s="136"/>
      <c r="K94" s="136"/>
      <c r="L94" s="136"/>
      <c r="M94" s="136"/>
      <c r="N94" s="136"/>
      <c r="O94" s="136"/>
    </row>
    <row r="95" spans="1:15" ht="24">
      <c r="A95" s="135" t="s">
        <v>217</v>
      </c>
      <c r="B95" s="126" t="s">
        <v>258</v>
      </c>
      <c r="C95" s="164"/>
      <c r="D95" s="131">
        <v>2</v>
      </c>
      <c r="E95" s="131">
        <v>2</v>
      </c>
      <c r="F95" s="131"/>
      <c r="G95" s="131">
        <v>2</v>
      </c>
      <c r="H95" s="131"/>
      <c r="I95" s="131"/>
      <c r="J95" s="136"/>
      <c r="K95" s="136"/>
      <c r="L95" s="136"/>
      <c r="M95" s="136"/>
      <c r="N95" s="136"/>
      <c r="O95" s="136"/>
    </row>
    <row r="96" spans="1:15" ht="24">
      <c r="A96" s="135" t="s">
        <v>218</v>
      </c>
      <c r="B96" s="126" t="s">
        <v>259</v>
      </c>
      <c r="C96" s="164"/>
      <c r="D96" s="131"/>
      <c r="E96" s="131"/>
      <c r="F96" s="131"/>
      <c r="G96" s="131"/>
      <c r="H96" s="131"/>
      <c r="I96" s="131"/>
      <c r="J96" s="136"/>
      <c r="K96" s="136"/>
      <c r="L96" s="136"/>
      <c r="M96" s="136"/>
      <c r="N96" s="136"/>
      <c r="O96" s="136"/>
    </row>
    <row r="97" spans="1:15" ht="24">
      <c r="A97" s="135" t="s">
        <v>219</v>
      </c>
      <c r="B97" s="126" t="s">
        <v>260</v>
      </c>
      <c r="C97" s="164">
        <v>15.6</v>
      </c>
      <c r="D97" s="131">
        <v>20</v>
      </c>
      <c r="E97" s="131">
        <v>20</v>
      </c>
      <c r="F97" s="131"/>
      <c r="G97" s="131">
        <v>20</v>
      </c>
      <c r="H97" s="131"/>
      <c r="I97" s="131"/>
      <c r="J97" s="136"/>
      <c r="K97" s="136"/>
      <c r="L97" s="136"/>
      <c r="M97" s="136"/>
      <c r="N97" s="136"/>
      <c r="O97" s="136"/>
    </row>
    <row r="98" spans="1:15" ht="24">
      <c r="A98" s="135" t="s">
        <v>190</v>
      </c>
      <c r="B98" s="8" t="s">
        <v>332</v>
      </c>
      <c r="C98" s="164">
        <v>43</v>
      </c>
      <c r="D98" s="131"/>
      <c r="E98" s="131"/>
      <c r="F98" s="131"/>
      <c r="G98" s="131"/>
      <c r="H98" s="131"/>
      <c r="I98" s="131"/>
      <c r="J98" s="136"/>
      <c r="K98" s="136"/>
      <c r="L98" s="136"/>
      <c r="M98" s="136"/>
      <c r="N98" s="136"/>
      <c r="O98" s="136"/>
    </row>
    <row r="99" spans="1:15" ht="24">
      <c r="A99" s="124" t="s">
        <v>53</v>
      </c>
      <c r="B99" s="128">
        <v>1170</v>
      </c>
      <c r="C99" s="202">
        <f>C68-C75-C20</f>
        <v>50.999999999992724</v>
      </c>
      <c r="D99" s="131"/>
      <c r="E99" s="131"/>
      <c r="F99" s="131"/>
      <c r="G99" s="131"/>
      <c r="H99" s="131"/>
      <c r="I99" s="131"/>
      <c r="J99" s="136"/>
      <c r="K99" s="136"/>
      <c r="L99" s="136"/>
      <c r="M99" s="136"/>
      <c r="N99" s="136"/>
      <c r="O99" s="136"/>
    </row>
    <row r="100" spans="1:15" ht="12">
      <c r="A100" s="125" t="s">
        <v>54</v>
      </c>
      <c r="B100" s="9">
        <v>1180</v>
      </c>
      <c r="C100" s="201">
        <f>C99*18/100</f>
        <v>9.17999999999869</v>
      </c>
      <c r="D100" s="131"/>
      <c r="E100" s="131"/>
      <c r="F100" s="131"/>
      <c r="G100" s="131"/>
      <c r="H100" s="131"/>
      <c r="I100" s="131"/>
      <c r="J100" s="136"/>
      <c r="K100" s="136"/>
      <c r="L100" s="136"/>
      <c r="M100" s="136"/>
      <c r="N100" s="136"/>
      <c r="O100" s="136"/>
    </row>
    <row r="101" spans="1:15" ht="12">
      <c r="A101" s="125" t="s">
        <v>55</v>
      </c>
      <c r="B101" s="9">
        <v>1181</v>
      </c>
      <c r="C101" s="202"/>
      <c r="D101" s="131"/>
      <c r="E101" s="131"/>
      <c r="F101" s="131"/>
      <c r="G101" s="131"/>
      <c r="H101" s="131"/>
      <c r="I101" s="131"/>
      <c r="J101" s="136"/>
      <c r="K101" s="136"/>
      <c r="L101" s="136"/>
      <c r="M101" s="136"/>
      <c r="N101" s="136"/>
      <c r="O101" s="136"/>
    </row>
    <row r="102" spans="1:9" ht="24">
      <c r="A102" s="124" t="s">
        <v>48</v>
      </c>
      <c r="B102" s="128">
        <v>1100</v>
      </c>
      <c r="C102" s="200">
        <f aca="true" t="shared" si="5" ref="C102:I102">C103+C105+C107-C104-C106-C108</f>
        <v>0</v>
      </c>
      <c r="D102" s="130">
        <f t="shared" si="5"/>
        <v>0</v>
      </c>
      <c r="E102" s="130">
        <f t="shared" si="5"/>
        <v>0</v>
      </c>
      <c r="F102" s="130">
        <f t="shared" si="5"/>
        <v>0</v>
      </c>
      <c r="G102" s="130">
        <f t="shared" si="5"/>
        <v>0</v>
      </c>
      <c r="H102" s="130">
        <f t="shared" si="5"/>
        <v>0</v>
      </c>
      <c r="I102" s="130">
        <f t="shared" si="5"/>
        <v>0</v>
      </c>
    </row>
    <row r="103" spans="1:9" ht="24">
      <c r="A103" s="125" t="s">
        <v>49</v>
      </c>
      <c r="B103" s="126">
        <v>1110</v>
      </c>
      <c r="C103" s="164"/>
      <c r="D103" s="131"/>
      <c r="E103" s="207"/>
      <c r="F103" s="207"/>
      <c r="G103" s="207"/>
      <c r="H103" s="207"/>
      <c r="I103" s="138"/>
    </row>
    <row r="104" spans="1:9" ht="24">
      <c r="A104" s="125" t="s">
        <v>50</v>
      </c>
      <c r="B104" s="126">
        <v>1120</v>
      </c>
      <c r="C104" s="164"/>
      <c r="D104" s="131"/>
      <c r="E104" s="207"/>
      <c r="F104" s="207"/>
      <c r="G104" s="207"/>
      <c r="H104" s="207"/>
      <c r="I104" s="138"/>
    </row>
    <row r="105" spans="1:9" ht="24">
      <c r="A105" s="125" t="s">
        <v>51</v>
      </c>
      <c r="B105" s="126">
        <v>1130</v>
      </c>
      <c r="C105" s="164"/>
      <c r="D105" s="131"/>
      <c r="E105" s="207"/>
      <c r="F105" s="207"/>
      <c r="G105" s="207"/>
      <c r="H105" s="207"/>
      <c r="I105" s="138"/>
    </row>
    <row r="106" spans="1:9" ht="12">
      <c r="A106" s="125" t="s">
        <v>52</v>
      </c>
      <c r="B106" s="126">
        <v>1140</v>
      </c>
      <c r="C106" s="164"/>
      <c r="D106" s="131"/>
      <c r="E106" s="207"/>
      <c r="F106" s="207"/>
      <c r="G106" s="207"/>
      <c r="H106" s="207"/>
      <c r="I106" s="138"/>
    </row>
    <row r="107" spans="1:9" ht="12">
      <c r="A107" s="125" t="s">
        <v>151</v>
      </c>
      <c r="B107" s="126">
        <v>1150</v>
      </c>
      <c r="C107" s="164"/>
      <c r="D107" s="131"/>
      <c r="E107" s="207"/>
      <c r="F107" s="207"/>
      <c r="G107" s="207"/>
      <c r="H107" s="207"/>
      <c r="I107" s="138"/>
    </row>
    <row r="108" spans="1:9" ht="12">
      <c r="A108" s="125" t="s">
        <v>18</v>
      </c>
      <c r="B108" s="126">
        <v>1160</v>
      </c>
      <c r="C108" s="164"/>
      <c r="D108" s="131"/>
      <c r="E108" s="207"/>
      <c r="F108" s="207"/>
      <c r="G108" s="207"/>
      <c r="H108" s="207"/>
      <c r="I108" s="138"/>
    </row>
    <row r="109" spans="1:9" ht="24">
      <c r="A109" s="124" t="s">
        <v>53</v>
      </c>
      <c r="B109" s="128">
        <v>1170</v>
      </c>
      <c r="C109" s="200">
        <f>C68-C75-C20</f>
        <v>50.999999999992724</v>
      </c>
      <c r="D109" s="130">
        <f>D68-D75-D20</f>
        <v>0</v>
      </c>
      <c r="E109" s="130">
        <f>E68-E75-E20</f>
        <v>0</v>
      </c>
      <c r="F109" s="130"/>
      <c r="G109" s="130"/>
      <c r="H109" s="130"/>
      <c r="I109" s="130"/>
    </row>
    <row r="110" spans="1:9" ht="12">
      <c r="A110" s="125" t="s">
        <v>54</v>
      </c>
      <c r="B110" s="9">
        <v>1180</v>
      </c>
      <c r="C110" s="164">
        <v>9.2</v>
      </c>
      <c r="D110" s="131"/>
      <c r="E110" s="207"/>
      <c r="F110" s="207"/>
      <c r="G110" s="207"/>
      <c r="H110" s="207"/>
      <c r="I110" s="138"/>
    </row>
    <row r="111" spans="1:9" ht="12">
      <c r="A111" s="125" t="s">
        <v>55</v>
      </c>
      <c r="B111" s="9">
        <v>1181</v>
      </c>
      <c r="C111" s="164"/>
      <c r="D111" s="131"/>
      <c r="E111" s="207"/>
      <c r="F111" s="207"/>
      <c r="G111" s="207"/>
      <c r="H111" s="207"/>
      <c r="I111" s="138"/>
    </row>
    <row r="112" spans="1:9" ht="24">
      <c r="A112" s="124" t="s">
        <v>56</v>
      </c>
      <c r="B112" s="128">
        <v>1200</v>
      </c>
      <c r="C112" s="200">
        <f>C113</f>
        <v>41.81999999999403</v>
      </c>
      <c r="D112" s="130"/>
      <c r="E112" s="207"/>
      <c r="F112" s="207"/>
      <c r="G112" s="207"/>
      <c r="H112" s="207"/>
      <c r="I112" s="138"/>
    </row>
    <row r="113" spans="1:9" ht="12">
      <c r="A113" s="125" t="s">
        <v>57</v>
      </c>
      <c r="B113" s="8">
        <v>1201</v>
      </c>
      <c r="C113" s="164">
        <f>C99-C100</f>
        <v>41.81999999999403</v>
      </c>
      <c r="D113" s="131"/>
      <c r="E113" s="207"/>
      <c r="F113" s="207"/>
      <c r="G113" s="207"/>
      <c r="H113" s="207"/>
      <c r="I113" s="138"/>
    </row>
    <row r="114" spans="1:9" ht="12">
      <c r="A114" s="125" t="s">
        <v>58</v>
      </c>
      <c r="B114" s="8">
        <v>1202</v>
      </c>
      <c r="C114" s="164"/>
      <c r="D114" s="131">
        <f aca="true" t="shared" si="6" ref="D114:I114">D115-D116</f>
        <v>0</v>
      </c>
      <c r="E114" s="131">
        <f t="shared" si="6"/>
        <v>0</v>
      </c>
      <c r="F114" s="131">
        <f t="shared" si="6"/>
        <v>0</v>
      </c>
      <c r="G114" s="131">
        <f t="shared" si="6"/>
        <v>0</v>
      </c>
      <c r="H114" s="131">
        <f t="shared" si="6"/>
        <v>0</v>
      </c>
      <c r="I114" s="131">
        <f t="shared" si="6"/>
        <v>0</v>
      </c>
    </row>
    <row r="115" spans="1:9" ht="12">
      <c r="A115" s="124" t="s">
        <v>59</v>
      </c>
      <c r="B115" s="126">
        <v>1210</v>
      </c>
      <c r="C115" s="200">
        <f aca="true" t="shared" si="7" ref="C115:I115">C102+C68</f>
        <v>42280.200000000004</v>
      </c>
      <c r="D115" s="130">
        <f t="shared" si="7"/>
        <v>13896</v>
      </c>
      <c r="E115" s="130">
        <f t="shared" si="7"/>
        <v>15042</v>
      </c>
      <c r="F115" s="130">
        <f t="shared" si="7"/>
        <v>3260</v>
      </c>
      <c r="G115" s="130">
        <f t="shared" si="7"/>
        <v>4554</v>
      </c>
      <c r="H115" s="130">
        <f t="shared" si="7"/>
        <v>4284</v>
      </c>
      <c r="I115" s="130">
        <f t="shared" si="7"/>
        <v>2944</v>
      </c>
    </row>
    <row r="116" spans="1:9" ht="12">
      <c r="A116" s="124" t="s">
        <v>60</v>
      </c>
      <c r="B116" s="126">
        <v>1220</v>
      </c>
      <c r="C116" s="200">
        <f aca="true" t="shared" si="8" ref="C116:I116">C20+C75</f>
        <v>42229.20000000001</v>
      </c>
      <c r="D116" s="130">
        <f t="shared" si="8"/>
        <v>13896</v>
      </c>
      <c r="E116" s="130">
        <f>E20+E75</f>
        <v>15042</v>
      </c>
      <c r="F116" s="130">
        <f t="shared" si="8"/>
        <v>3260</v>
      </c>
      <c r="G116" s="130">
        <f t="shared" si="8"/>
        <v>4554</v>
      </c>
      <c r="H116" s="130">
        <f t="shared" si="8"/>
        <v>4284</v>
      </c>
      <c r="I116" s="130">
        <f t="shared" si="8"/>
        <v>2944</v>
      </c>
    </row>
    <row r="117" spans="1:9" ht="12">
      <c r="A117" s="221" t="s">
        <v>152</v>
      </c>
      <c r="B117" s="221"/>
      <c r="C117" s="221"/>
      <c r="D117" s="221"/>
      <c r="E117" s="221"/>
      <c r="F117" s="221"/>
      <c r="G117" s="221"/>
      <c r="H117" s="221"/>
      <c r="I117" s="221"/>
    </row>
    <row r="118" spans="1:9" ht="12">
      <c r="A118" s="139" t="s">
        <v>220</v>
      </c>
      <c r="B118" s="126">
        <v>1300</v>
      </c>
      <c r="C118" s="200">
        <f aca="true" t="shared" si="9" ref="C118:I118">C119+C120</f>
        <v>1194.7</v>
      </c>
      <c r="D118" s="131">
        <f t="shared" si="9"/>
        <v>2615</v>
      </c>
      <c r="E118" s="131">
        <f t="shared" si="9"/>
        <v>2615</v>
      </c>
      <c r="F118" s="131">
        <f t="shared" si="9"/>
        <v>806</v>
      </c>
      <c r="G118" s="131">
        <f t="shared" si="9"/>
        <v>800</v>
      </c>
      <c r="H118" s="131">
        <f t="shared" si="9"/>
        <v>509</v>
      </c>
      <c r="I118" s="131">
        <f t="shared" si="9"/>
        <v>500</v>
      </c>
    </row>
    <row r="119" spans="1:9" ht="24">
      <c r="A119" s="125" t="s">
        <v>153</v>
      </c>
      <c r="B119" s="140">
        <v>1301</v>
      </c>
      <c r="C119" s="200">
        <v>864</v>
      </c>
      <c r="D119" s="130">
        <f aca="true" t="shared" si="10" ref="D119:I119">D43</f>
        <v>1477</v>
      </c>
      <c r="E119" s="130">
        <f t="shared" si="10"/>
        <v>1477</v>
      </c>
      <c r="F119" s="130">
        <f t="shared" si="10"/>
        <v>368</v>
      </c>
      <c r="G119" s="130">
        <f t="shared" si="10"/>
        <v>369</v>
      </c>
      <c r="H119" s="130">
        <f t="shared" si="10"/>
        <v>370</v>
      </c>
      <c r="I119" s="130">
        <f t="shared" si="10"/>
        <v>370</v>
      </c>
    </row>
    <row r="120" spans="1:9" ht="48">
      <c r="A120" s="125" t="s">
        <v>221</v>
      </c>
      <c r="B120" s="140">
        <v>1302</v>
      </c>
      <c r="C120" s="200">
        <v>330.7</v>
      </c>
      <c r="D120" s="130">
        <f aca="true" t="shared" si="11" ref="D120:I120">D42-D43+D26+D27</f>
        <v>1138</v>
      </c>
      <c r="E120" s="130">
        <f t="shared" si="11"/>
        <v>1138</v>
      </c>
      <c r="F120" s="130">
        <f t="shared" si="11"/>
        <v>438</v>
      </c>
      <c r="G120" s="130">
        <f t="shared" si="11"/>
        <v>431</v>
      </c>
      <c r="H120" s="130">
        <f t="shared" si="11"/>
        <v>139</v>
      </c>
      <c r="I120" s="130">
        <f t="shared" si="11"/>
        <v>130</v>
      </c>
    </row>
    <row r="121" spans="1:9" ht="12">
      <c r="A121" s="125" t="s">
        <v>14</v>
      </c>
      <c r="B121" s="141">
        <v>1310</v>
      </c>
      <c r="C121" s="164">
        <f aca="true" t="shared" si="12" ref="C121:I123">C28</f>
        <v>5182.6</v>
      </c>
      <c r="D121" s="131">
        <f t="shared" si="12"/>
        <v>6945</v>
      </c>
      <c r="E121" s="131">
        <f t="shared" si="12"/>
        <v>6945</v>
      </c>
      <c r="F121" s="131">
        <f t="shared" si="12"/>
        <v>1737</v>
      </c>
      <c r="G121" s="131">
        <f t="shared" si="12"/>
        <v>1736</v>
      </c>
      <c r="H121" s="131">
        <f t="shared" si="12"/>
        <v>1736</v>
      </c>
      <c r="I121" s="131">
        <f t="shared" si="12"/>
        <v>1736</v>
      </c>
    </row>
    <row r="122" spans="1:9" ht="12">
      <c r="A122" s="125" t="s">
        <v>15</v>
      </c>
      <c r="B122" s="141">
        <v>1320</v>
      </c>
      <c r="C122" s="164">
        <f t="shared" si="12"/>
        <v>1056.9</v>
      </c>
      <c r="D122" s="131">
        <f t="shared" si="12"/>
        <v>1528</v>
      </c>
      <c r="E122" s="131">
        <f t="shared" si="12"/>
        <v>1528</v>
      </c>
      <c r="F122" s="131">
        <f t="shared" si="12"/>
        <v>382</v>
      </c>
      <c r="G122" s="131">
        <f t="shared" si="12"/>
        <v>382</v>
      </c>
      <c r="H122" s="131">
        <f t="shared" si="12"/>
        <v>382</v>
      </c>
      <c r="I122" s="131">
        <f t="shared" si="12"/>
        <v>382</v>
      </c>
    </row>
    <row r="123" spans="1:9" ht="12">
      <c r="A123" s="125" t="s">
        <v>154</v>
      </c>
      <c r="B123" s="141">
        <v>1330</v>
      </c>
      <c r="C123" s="164">
        <f t="shared" si="12"/>
        <v>32961.100000000006</v>
      </c>
      <c r="D123" s="131">
        <f t="shared" si="12"/>
        <v>723</v>
      </c>
      <c r="E123" s="131">
        <f t="shared" si="12"/>
        <v>723</v>
      </c>
      <c r="F123" s="131">
        <f t="shared" si="12"/>
        <v>180</v>
      </c>
      <c r="G123" s="131">
        <f t="shared" si="12"/>
        <v>181</v>
      </c>
      <c r="H123" s="131">
        <f t="shared" si="12"/>
        <v>181</v>
      </c>
      <c r="I123" s="131">
        <f t="shared" si="12"/>
        <v>181</v>
      </c>
    </row>
    <row r="124" spans="1:9" ht="12">
      <c r="A124" s="125" t="s">
        <v>155</v>
      </c>
      <c r="B124" s="141">
        <v>1340</v>
      </c>
      <c r="C124" s="203">
        <v>1833.9</v>
      </c>
      <c r="D124" s="142">
        <f aca="true" t="shared" si="13" ref="D124:I124">D75</f>
        <v>2085</v>
      </c>
      <c r="E124" s="142">
        <f t="shared" si="13"/>
        <v>3231</v>
      </c>
      <c r="F124" s="142">
        <f t="shared" si="13"/>
        <v>155</v>
      </c>
      <c r="G124" s="142">
        <f t="shared" si="13"/>
        <v>1455</v>
      </c>
      <c r="H124" s="142">
        <f t="shared" si="13"/>
        <v>1476</v>
      </c>
      <c r="I124" s="142">
        <f t="shared" si="13"/>
        <v>145</v>
      </c>
    </row>
    <row r="125" spans="1:9" ht="12">
      <c r="A125" s="124" t="s">
        <v>156</v>
      </c>
      <c r="B125" s="143">
        <v>1350</v>
      </c>
      <c r="C125" s="204">
        <f aca="true" t="shared" si="14" ref="C125:I125">C118+C121+C122+C123+C124</f>
        <v>42229.200000000004</v>
      </c>
      <c r="D125" s="144">
        <f t="shared" si="14"/>
        <v>13896</v>
      </c>
      <c r="E125" s="144">
        <f>E118+E121+E122+E123+E124</f>
        <v>15042</v>
      </c>
      <c r="F125" s="144">
        <f t="shared" si="14"/>
        <v>3260</v>
      </c>
      <c r="G125" s="144">
        <f t="shared" si="14"/>
        <v>4554</v>
      </c>
      <c r="H125" s="144">
        <f t="shared" si="14"/>
        <v>4284</v>
      </c>
      <c r="I125" s="144">
        <f t="shared" si="14"/>
        <v>2944</v>
      </c>
    </row>
    <row r="128" spans="1:5" ht="12">
      <c r="A128" s="145" t="s">
        <v>266</v>
      </c>
      <c r="B128" s="146"/>
      <c r="C128" s="205"/>
      <c r="D128" s="148" t="s">
        <v>267</v>
      </c>
      <c r="E128" s="149"/>
    </row>
  </sheetData>
  <sheetProtection/>
  <mergeCells count="10">
    <mergeCell ref="A117:I117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0.421875" style="88" customWidth="1"/>
    <col min="2" max="2" width="6.00390625" style="88" customWidth="1"/>
    <col min="3" max="4" width="8.421875" style="99" customWidth="1"/>
    <col min="5" max="5" width="9.140625" style="88" customWidth="1"/>
    <col min="6" max="9" width="6.00390625" style="88" customWidth="1"/>
    <col min="10" max="16384" width="9.140625" style="88" customWidth="1"/>
  </cols>
  <sheetData>
    <row r="1" spans="7:9" ht="12.75">
      <c r="G1" s="210" t="s">
        <v>141</v>
      </c>
      <c r="H1" s="210"/>
      <c r="I1" s="210"/>
    </row>
    <row r="2" spans="1:9" ht="12.75">
      <c r="A2" s="211" t="s">
        <v>61</v>
      </c>
      <c r="B2" s="211"/>
      <c r="C2" s="211"/>
      <c r="D2" s="211"/>
      <c r="E2" s="211"/>
      <c r="F2" s="211"/>
      <c r="G2" s="211"/>
      <c r="H2" s="211"/>
      <c r="I2" s="211"/>
    </row>
    <row r="3" spans="1:9" ht="7.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1:9" ht="15" customHeight="1">
      <c r="A4" s="228" t="s">
        <v>1</v>
      </c>
      <c r="B4" s="229" t="s">
        <v>2</v>
      </c>
      <c r="C4" s="229" t="s">
        <v>261</v>
      </c>
      <c r="D4" s="229" t="s">
        <v>262</v>
      </c>
      <c r="E4" s="229" t="s">
        <v>263</v>
      </c>
      <c r="F4" s="229" t="s">
        <v>3</v>
      </c>
      <c r="G4" s="229"/>
      <c r="H4" s="229"/>
      <c r="I4" s="229"/>
    </row>
    <row r="5" spans="1:9" ht="84" customHeight="1">
      <c r="A5" s="228"/>
      <c r="B5" s="229"/>
      <c r="C5" s="229"/>
      <c r="D5" s="229"/>
      <c r="E5" s="229"/>
      <c r="F5" s="89" t="s">
        <v>4</v>
      </c>
      <c r="G5" s="89" t="s">
        <v>5</v>
      </c>
      <c r="H5" s="89" t="s">
        <v>6</v>
      </c>
      <c r="I5" s="89" t="s">
        <v>7</v>
      </c>
    </row>
    <row r="6" spans="1:9" ht="12.75">
      <c r="A6" s="82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</row>
    <row r="7" spans="1:9" ht="12.75">
      <c r="A7" s="209" t="s">
        <v>62</v>
      </c>
      <c r="B7" s="209"/>
      <c r="C7" s="209"/>
      <c r="D7" s="209"/>
      <c r="E7" s="209"/>
      <c r="F7" s="209"/>
      <c r="G7" s="209"/>
      <c r="H7" s="209"/>
      <c r="I7" s="209"/>
    </row>
    <row r="8" spans="1:9" ht="38.25">
      <c r="A8" s="79" t="s">
        <v>63</v>
      </c>
      <c r="B8" s="67">
        <v>2000</v>
      </c>
      <c r="C8" s="107">
        <v>20</v>
      </c>
      <c r="D8" s="65"/>
      <c r="E8" s="65"/>
      <c r="F8" s="65"/>
      <c r="G8" s="65"/>
      <c r="H8" s="65"/>
      <c r="I8" s="65"/>
    </row>
    <row r="9" spans="1:9" ht="38.25">
      <c r="A9" s="79" t="s">
        <v>268</v>
      </c>
      <c r="B9" s="67">
        <v>2010</v>
      </c>
      <c r="C9" s="107">
        <f>41.8*0.15</f>
        <v>6.27</v>
      </c>
      <c r="D9" s="65"/>
      <c r="E9" s="65"/>
      <c r="F9" s="65"/>
      <c r="G9" s="65"/>
      <c r="H9" s="65"/>
      <c r="I9" s="65"/>
    </row>
    <row r="10" spans="1:9" ht="12.75">
      <c r="A10" s="79" t="s">
        <v>64</v>
      </c>
      <c r="B10" s="67">
        <v>2030</v>
      </c>
      <c r="C10" s="65"/>
      <c r="D10" s="65"/>
      <c r="E10" s="65"/>
      <c r="F10" s="65"/>
      <c r="G10" s="65"/>
      <c r="H10" s="65"/>
      <c r="I10" s="65"/>
    </row>
    <row r="11" spans="1:9" ht="25.5">
      <c r="A11" s="79" t="s">
        <v>65</v>
      </c>
      <c r="B11" s="67">
        <v>2031</v>
      </c>
      <c r="C11" s="65"/>
      <c r="D11" s="65"/>
      <c r="E11" s="65"/>
      <c r="F11" s="65"/>
      <c r="G11" s="65"/>
      <c r="H11" s="65"/>
      <c r="I11" s="65"/>
    </row>
    <row r="12" spans="1:9" ht="12.75">
      <c r="A12" s="79" t="s">
        <v>66</v>
      </c>
      <c r="B12" s="67">
        <v>2040</v>
      </c>
      <c r="C12" s="65"/>
      <c r="D12" s="65"/>
      <c r="E12" s="65"/>
      <c r="F12" s="65"/>
      <c r="G12" s="65"/>
      <c r="H12" s="65"/>
      <c r="I12" s="65"/>
    </row>
    <row r="13" spans="1:9" ht="12.75">
      <c r="A13" s="79" t="s">
        <v>67</v>
      </c>
      <c r="B13" s="67">
        <v>2050</v>
      </c>
      <c r="C13" s="65"/>
      <c r="D13" s="65"/>
      <c r="E13" s="65"/>
      <c r="F13" s="65"/>
      <c r="G13" s="65"/>
      <c r="H13" s="65"/>
      <c r="I13" s="65"/>
    </row>
    <row r="14" spans="1:9" ht="12.75">
      <c r="A14" s="79" t="s">
        <v>68</v>
      </c>
      <c r="B14" s="67">
        <v>2060</v>
      </c>
      <c r="C14" s="65"/>
      <c r="D14" s="65"/>
      <c r="E14" s="65"/>
      <c r="F14" s="65"/>
      <c r="G14" s="65"/>
      <c r="H14" s="65"/>
      <c r="I14" s="65"/>
    </row>
    <row r="15" spans="1:9" ht="38.25">
      <c r="A15" s="79" t="s">
        <v>69</v>
      </c>
      <c r="B15" s="67">
        <v>2070</v>
      </c>
      <c r="C15" s="107">
        <v>61.8</v>
      </c>
      <c r="D15" s="65"/>
      <c r="E15" s="65"/>
      <c r="F15" s="65"/>
      <c r="G15" s="65"/>
      <c r="H15" s="65"/>
      <c r="I15" s="65"/>
    </row>
    <row r="16" spans="1:9" ht="12.75">
      <c r="A16" s="209" t="s">
        <v>70</v>
      </c>
      <c r="B16" s="209"/>
      <c r="C16" s="209"/>
      <c r="D16" s="209"/>
      <c r="E16" s="209"/>
      <c r="F16" s="209"/>
      <c r="G16" s="209"/>
      <c r="H16" s="209"/>
      <c r="I16" s="209"/>
    </row>
    <row r="17" spans="1:9" ht="38.25">
      <c r="A17" s="80" t="s">
        <v>269</v>
      </c>
      <c r="B17" s="81">
        <v>2110</v>
      </c>
      <c r="C17" s="66"/>
      <c r="D17" s="66"/>
      <c r="E17" s="66"/>
      <c r="F17" s="66"/>
      <c r="G17" s="66"/>
      <c r="H17" s="66"/>
      <c r="I17" s="66"/>
    </row>
    <row r="18" spans="1:9" ht="12.75">
      <c r="A18" s="64" t="s">
        <v>71</v>
      </c>
      <c r="B18" s="67">
        <v>2111</v>
      </c>
      <c r="C18" s="65"/>
      <c r="D18" s="65"/>
      <c r="E18" s="65"/>
      <c r="F18" s="65"/>
      <c r="G18" s="65"/>
      <c r="H18" s="65"/>
      <c r="I18" s="65"/>
    </row>
    <row r="19" spans="1:9" ht="38.25">
      <c r="A19" s="64" t="s">
        <v>142</v>
      </c>
      <c r="B19" s="67">
        <v>2112</v>
      </c>
      <c r="C19" s="65"/>
      <c r="D19" s="65"/>
      <c r="E19" s="65"/>
      <c r="F19" s="65"/>
      <c r="G19" s="65"/>
      <c r="H19" s="65"/>
      <c r="I19" s="65"/>
    </row>
    <row r="20" spans="1:9" ht="45" customHeight="1">
      <c r="A20" s="79" t="s">
        <v>143</v>
      </c>
      <c r="B20" s="82">
        <v>2113</v>
      </c>
      <c r="C20" s="65"/>
      <c r="D20" s="65"/>
      <c r="E20" s="65"/>
      <c r="F20" s="65"/>
      <c r="G20" s="65"/>
      <c r="H20" s="65"/>
      <c r="I20" s="65"/>
    </row>
    <row r="21" spans="1:9" ht="12.75">
      <c r="A21" s="79" t="s">
        <v>72</v>
      </c>
      <c r="B21" s="82">
        <v>2114</v>
      </c>
      <c r="C21" s="65"/>
      <c r="D21" s="65"/>
      <c r="E21" s="65"/>
      <c r="F21" s="65"/>
      <c r="G21" s="65"/>
      <c r="H21" s="65"/>
      <c r="I21" s="65"/>
    </row>
    <row r="22" spans="1:9" ht="12.75">
      <c r="A22" s="79" t="s">
        <v>73</v>
      </c>
      <c r="B22" s="82">
        <v>2115</v>
      </c>
      <c r="C22" s="65"/>
      <c r="D22" s="65"/>
      <c r="E22" s="65"/>
      <c r="F22" s="65"/>
      <c r="G22" s="65"/>
      <c r="H22" s="65"/>
      <c r="I22" s="65"/>
    </row>
    <row r="23" spans="1:9" ht="25.5">
      <c r="A23" s="79" t="s">
        <v>270</v>
      </c>
      <c r="B23" s="82">
        <v>2116</v>
      </c>
      <c r="C23" s="66"/>
      <c r="D23" s="66"/>
      <c r="E23" s="65"/>
      <c r="F23" s="66"/>
      <c r="G23" s="66"/>
      <c r="H23" s="66"/>
      <c r="I23" s="66"/>
    </row>
    <row r="24" spans="1:9" ht="12.75">
      <c r="A24" s="79" t="s">
        <v>271</v>
      </c>
      <c r="B24" s="82" t="s">
        <v>272</v>
      </c>
      <c r="C24" s="66"/>
      <c r="D24" s="66"/>
      <c r="E24" s="65"/>
      <c r="F24" s="66"/>
      <c r="G24" s="66"/>
      <c r="H24" s="66"/>
      <c r="I24" s="66"/>
    </row>
    <row r="25" spans="1:9" ht="38.25">
      <c r="A25" s="80" t="s">
        <v>75</v>
      </c>
      <c r="B25" s="83">
        <v>2120</v>
      </c>
      <c r="C25" s="84">
        <f aca="true" t="shared" si="0" ref="C25:I25">C26+C27+C28+C29</f>
        <v>1026.3999999999999</v>
      </c>
      <c r="D25" s="66">
        <f>D26+D27+D28+D29</f>
        <v>1354</v>
      </c>
      <c r="E25" s="66">
        <f>E26+E27+E28+E29</f>
        <v>1354</v>
      </c>
      <c r="F25" s="66">
        <f t="shared" si="0"/>
        <v>339</v>
      </c>
      <c r="G25" s="66">
        <f t="shared" si="0"/>
        <v>339</v>
      </c>
      <c r="H25" s="66">
        <f t="shared" si="0"/>
        <v>338</v>
      </c>
      <c r="I25" s="66">
        <f t="shared" si="0"/>
        <v>338</v>
      </c>
    </row>
    <row r="26" spans="1:9" ht="12.75">
      <c r="A26" s="79" t="s">
        <v>73</v>
      </c>
      <c r="B26" s="82">
        <v>2121</v>
      </c>
      <c r="C26" s="109">
        <v>940</v>
      </c>
      <c r="D26" s="65">
        <v>1250</v>
      </c>
      <c r="E26" s="65">
        <f>'ІІІ Рух грошових коштів'!E29</f>
        <v>1250</v>
      </c>
      <c r="F26" s="65">
        <f>'ІІІ Рух грошових коштів'!F29</f>
        <v>313</v>
      </c>
      <c r="G26" s="65">
        <f>'ІІІ Рух грошових коштів'!G29</f>
        <v>313</v>
      </c>
      <c r="H26" s="65">
        <f>'ІІІ Рух грошових коштів'!H29</f>
        <v>312</v>
      </c>
      <c r="I26" s="65">
        <f>'ІІІ Рух грошових коштів'!I29</f>
        <v>312</v>
      </c>
    </row>
    <row r="27" spans="1:9" ht="12.75">
      <c r="A27" s="79" t="s">
        <v>76</v>
      </c>
      <c r="B27" s="82">
        <v>2122</v>
      </c>
      <c r="C27" s="108">
        <v>0.3</v>
      </c>
      <c r="D27" s="65"/>
      <c r="E27" s="65"/>
      <c r="F27" s="65"/>
      <c r="G27" s="65"/>
      <c r="H27" s="65"/>
      <c r="I27" s="65"/>
    </row>
    <row r="28" spans="1:9" ht="12.75">
      <c r="A28" s="79" t="s">
        <v>77</v>
      </c>
      <c r="B28" s="82">
        <v>2123</v>
      </c>
      <c r="C28" s="108"/>
      <c r="D28" s="65"/>
      <c r="E28" s="65"/>
      <c r="F28" s="65"/>
      <c r="G28" s="65"/>
      <c r="H28" s="65"/>
      <c r="I28" s="65"/>
    </row>
    <row r="29" spans="1:9" ht="25.5">
      <c r="A29" s="79" t="s">
        <v>74</v>
      </c>
      <c r="B29" s="82">
        <v>2124</v>
      </c>
      <c r="C29" s="108">
        <f aca="true" t="shared" si="1" ref="C29:I29">C30+C31+C32</f>
        <v>86.1</v>
      </c>
      <c r="D29" s="65">
        <v>104</v>
      </c>
      <c r="E29" s="65">
        <f t="shared" si="1"/>
        <v>104</v>
      </c>
      <c r="F29" s="65">
        <f t="shared" si="1"/>
        <v>26</v>
      </c>
      <c r="G29" s="65">
        <f t="shared" si="1"/>
        <v>26</v>
      </c>
      <c r="H29" s="65">
        <f t="shared" si="1"/>
        <v>26</v>
      </c>
      <c r="I29" s="65">
        <f t="shared" si="1"/>
        <v>26</v>
      </c>
    </row>
    <row r="30" spans="1:9" ht="12.75">
      <c r="A30" s="79" t="s">
        <v>273</v>
      </c>
      <c r="B30" s="82" t="s">
        <v>274</v>
      </c>
      <c r="C30" s="110">
        <v>78.3</v>
      </c>
      <c r="D30" s="65">
        <v>104</v>
      </c>
      <c r="E30" s="65">
        <f>'ІІІ Рух грошових коштів'!E35</f>
        <v>104</v>
      </c>
      <c r="F30" s="65">
        <f>'ІІІ Рух грошових коштів'!F35</f>
        <v>26</v>
      </c>
      <c r="G30" s="65">
        <f>'ІІІ Рух грошових коштів'!G35</f>
        <v>26</v>
      </c>
      <c r="H30" s="65">
        <f>'ІІІ Рух грошових коштів'!H35</f>
        <v>26</v>
      </c>
      <c r="I30" s="65">
        <f>'ІІІ Рух грошових коштів'!I35</f>
        <v>26</v>
      </c>
    </row>
    <row r="31" spans="1:9" ht="12.75">
      <c r="A31" s="79" t="s">
        <v>71</v>
      </c>
      <c r="B31" s="82" t="s">
        <v>275</v>
      </c>
      <c r="C31" s="108">
        <v>1.3</v>
      </c>
      <c r="D31" s="65"/>
      <c r="E31" s="65"/>
      <c r="F31" s="65"/>
      <c r="G31" s="65"/>
      <c r="H31" s="65"/>
      <c r="I31" s="65"/>
    </row>
    <row r="32" spans="1:9" ht="38.25">
      <c r="A32" s="79" t="s">
        <v>276</v>
      </c>
      <c r="B32" s="82" t="s">
        <v>277</v>
      </c>
      <c r="C32" s="108">
        <v>6.5</v>
      </c>
      <c r="D32" s="65"/>
      <c r="E32" s="65"/>
      <c r="F32" s="65"/>
      <c r="G32" s="65"/>
      <c r="H32" s="65"/>
      <c r="I32" s="65"/>
    </row>
    <row r="33" spans="1:9" ht="25.5">
      <c r="A33" s="80" t="s">
        <v>278</v>
      </c>
      <c r="B33" s="83">
        <v>2130</v>
      </c>
      <c r="C33" s="84">
        <f aca="true" t="shared" si="2" ref="C33:I33">C34+C35+C36</f>
        <v>1057.6</v>
      </c>
      <c r="D33" s="66">
        <f t="shared" si="2"/>
        <v>1528</v>
      </c>
      <c r="E33" s="66">
        <f t="shared" si="2"/>
        <v>1528</v>
      </c>
      <c r="F33" s="66">
        <f t="shared" si="2"/>
        <v>382</v>
      </c>
      <c r="G33" s="66">
        <f t="shared" si="2"/>
        <v>382</v>
      </c>
      <c r="H33" s="66">
        <f t="shared" si="2"/>
        <v>382</v>
      </c>
      <c r="I33" s="66">
        <f t="shared" si="2"/>
        <v>382</v>
      </c>
    </row>
    <row r="34" spans="1:9" ht="12.75">
      <c r="A34" s="79" t="s">
        <v>78</v>
      </c>
      <c r="B34" s="82">
        <v>2131</v>
      </c>
      <c r="C34" s="65"/>
      <c r="D34" s="65"/>
      <c r="E34" s="65"/>
      <c r="F34" s="65"/>
      <c r="G34" s="65"/>
      <c r="H34" s="65"/>
      <c r="I34" s="65"/>
    </row>
    <row r="35" spans="1:9" ht="38.25">
      <c r="A35" s="79" t="s">
        <v>79</v>
      </c>
      <c r="B35" s="82">
        <v>2132</v>
      </c>
      <c r="C35" s="107">
        <f>1057.6</f>
        <v>1057.6</v>
      </c>
      <c r="D35" s="65">
        <v>1528</v>
      </c>
      <c r="E35" s="65">
        <f>'ІІІ Рух грошових коштів'!E37</f>
        <v>1528</v>
      </c>
      <c r="F35" s="65">
        <f>'ІІІ Рух грошових коштів'!F37</f>
        <v>382</v>
      </c>
      <c r="G35" s="65">
        <f>'ІІІ Рух грошових коштів'!G37</f>
        <v>382</v>
      </c>
      <c r="H35" s="65">
        <f>'ІІІ Рух грошових коштів'!H37</f>
        <v>382</v>
      </c>
      <c r="I35" s="65">
        <f>'ІІІ Рух грошових коштів'!I37</f>
        <v>382</v>
      </c>
    </row>
    <row r="36" spans="1:9" ht="25.5">
      <c r="A36" s="79" t="s">
        <v>80</v>
      </c>
      <c r="B36" s="82">
        <v>2133</v>
      </c>
      <c r="C36" s="65"/>
      <c r="D36" s="65"/>
      <c r="E36" s="65"/>
      <c r="F36" s="65"/>
      <c r="G36" s="65"/>
      <c r="H36" s="65"/>
      <c r="I36" s="65"/>
    </row>
    <row r="37" spans="1:9" ht="25.5">
      <c r="A37" s="80" t="s">
        <v>81</v>
      </c>
      <c r="B37" s="83">
        <v>2140</v>
      </c>
      <c r="C37" s="65"/>
      <c r="D37" s="65"/>
      <c r="E37" s="65"/>
      <c r="F37" s="65"/>
      <c r="G37" s="65"/>
      <c r="H37" s="65"/>
      <c r="I37" s="65"/>
    </row>
    <row r="38" spans="1:9" ht="63.75">
      <c r="A38" s="79" t="s">
        <v>82</v>
      </c>
      <c r="B38" s="82">
        <v>2141</v>
      </c>
      <c r="C38" s="65"/>
      <c r="D38" s="65"/>
      <c r="E38" s="65"/>
      <c r="F38" s="65"/>
      <c r="G38" s="65"/>
      <c r="H38" s="65"/>
      <c r="I38" s="65"/>
    </row>
    <row r="39" spans="1:9" ht="25.5">
      <c r="A39" s="79" t="s">
        <v>83</v>
      </c>
      <c r="B39" s="82">
        <v>2142</v>
      </c>
      <c r="C39" s="66"/>
      <c r="D39" s="66"/>
      <c r="E39" s="66"/>
      <c r="F39" s="66"/>
      <c r="G39" s="66"/>
      <c r="H39" s="66"/>
      <c r="I39" s="66"/>
    </row>
    <row r="40" spans="1:9" ht="12.75">
      <c r="A40" s="102"/>
      <c r="B40" s="100"/>
      <c r="C40" s="103"/>
      <c r="D40" s="104"/>
      <c r="E40" s="103"/>
      <c r="F40" s="104"/>
      <c r="G40" s="104"/>
      <c r="H40" s="104"/>
      <c r="I40" s="104"/>
    </row>
    <row r="41" spans="1:9" ht="12.75">
      <c r="A41" s="102"/>
      <c r="B41" s="100"/>
      <c r="C41" s="103"/>
      <c r="D41" s="104"/>
      <c r="E41" s="103"/>
      <c r="F41" s="104"/>
      <c r="G41" s="104"/>
      <c r="H41" s="104"/>
      <c r="I41" s="104"/>
    </row>
    <row r="42" spans="1:9" s="94" customFormat="1" ht="12.75">
      <c r="A42" s="68" t="s">
        <v>266</v>
      </c>
      <c r="B42" s="69"/>
      <c r="C42" s="70"/>
      <c r="D42" s="71" t="s">
        <v>267</v>
      </c>
      <c r="E42" s="72"/>
      <c r="F42" s="105"/>
      <c r="G42" s="105"/>
      <c r="H42" s="105"/>
      <c r="I42" s="105"/>
    </row>
    <row r="43" spans="1:9" s="94" customFormat="1" ht="12.75">
      <c r="A43" s="90"/>
      <c r="B43" s="91"/>
      <c r="C43" s="106"/>
      <c r="D43" s="72"/>
      <c r="E43" s="72"/>
      <c r="F43" s="92"/>
      <c r="G43" s="93"/>
      <c r="H43" s="93"/>
      <c r="I43" s="93"/>
    </row>
    <row r="44" spans="1:9" s="94" customFormat="1" ht="12.75">
      <c r="A44" s="97"/>
      <c r="B44" s="93"/>
      <c r="C44" s="97"/>
      <c r="D44" s="97"/>
      <c r="E44" s="97"/>
      <c r="F44" s="95"/>
      <c r="G44" s="95"/>
      <c r="I44" s="96"/>
    </row>
    <row r="45" spans="3:4" s="94" customFormat="1" ht="12.75">
      <c r="C45" s="98"/>
      <c r="D45" s="98"/>
    </row>
    <row r="46" spans="3:4" s="94" customFormat="1" ht="12.75">
      <c r="C46" s="98"/>
      <c r="D46" s="98"/>
    </row>
  </sheetData>
  <sheetProtection/>
  <mergeCells count="10">
    <mergeCell ref="A16:I16"/>
    <mergeCell ref="G1:I1"/>
    <mergeCell ref="A2:I2"/>
    <mergeCell ref="A4:A5"/>
    <mergeCell ref="B4:B5"/>
    <mergeCell ref="C4:C5"/>
    <mergeCell ref="D4:D5"/>
    <mergeCell ref="E4:E5"/>
    <mergeCell ref="F4:I4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"/>
  <sheetViews>
    <sheetView zoomScale="130" zoomScaleNormal="130" zoomScalePageLayoutView="0" workbookViewId="0" topLeftCell="A1">
      <selection activeCell="C2" sqref="C2"/>
    </sheetView>
  </sheetViews>
  <sheetFormatPr defaultColWidth="9.140625" defaultRowHeight="12.75"/>
  <cols>
    <col min="1" max="1" width="27.57421875" style="119" customWidth="1"/>
    <col min="2" max="2" width="8.28125" style="119" customWidth="1"/>
    <col min="3" max="3" width="7.7109375" style="120" customWidth="1"/>
    <col min="4" max="4" width="8.28125" style="120" customWidth="1"/>
    <col min="5" max="5" width="8.00390625" style="120" customWidth="1"/>
    <col min="6" max="8" width="6.7109375" style="120" customWidth="1"/>
    <col min="9" max="9" width="6.7109375" style="119" customWidth="1"/>
    <col min="10" max="16384" width="9.140625" style="119" customWidth="1"/>
  </cols>
  <sheetData>
    <row r="1" spans="7:9" ht="12">
      <c r="G1" s="223" t="s">
        <v>144</v>
      </c>
      <c r="H1" s="223"/>
      <c r="I1" s="223"/>
    </row>
    <row r="2" spans="2:9" ht="12">
      <c r="B2" s="151"/>
      <c r="C2" s="151" t="s">
        <v>145</v>
      </c>
      <c r="D2" s="151"/>
      <c r="E2" s="151"/>
      <c r="F2" s="151"/>
      <c r="G2" s="151"/>
      <c r="H2" s="151"/>
      <c r="I2" s="151"/>
    </row>
    <row r="3" spans="1:9" ht="6" customHeight="1">
      <c r="A3" s="151"/>
      <c r="B3" s="151"/>
      <c r="C3" s="151"/>
      <c r="D3" s="151"/>
      <c r="E3" s="151"/>
      <c r="F3" s="151"/>
      <c r="G3" s="151"/>
      <c r="H3" s="151"/>
      <c r="I3" s="151"/>
    </row>
    <row r="4" spans="1:9" ht="15" customHeight="1">
      <c r="A4" s="225" t="s">
        <v>1</v>
      </c>
      <c r="B4" s="226" t="s">
        <v>2</v>
      </c>
      <c r="C4" s="226" t="s">
        <v>261</v>
      </c>
      <c r="D4" s="226" t="s">
        <v>262</v>
      </c>
      <c r="E4" s="226" t="s">
        <v>263</v>
      </c>
      <c r="F4" s="226" t="s">
        <v>3</v>
      </c>
      <c r="G4" s="226"/>
      <c r="H4" s="226"/>
      <c r="I4" s="226"/>
    </row>
    <row r="5" spans="1:9" ht="84" customHeight="1">
      <c r="A5" s="225"/>
      <c r="B5" s="226"/>
      <c r="C5" s="226"/>
      <c r="D5" s="226"/>
      <c r="E5" s="226"/>
      <c r="F5" s="123" t="s">
        <v>4</v>
      </c>
      <c r="G5" s="123" t="s">
        <v>5</v>
      </c>
      <c r="H5" s="123" t="s">
        <v>6</v>
      </c>
      <c r="I5" s="123" t="s">
        <v>7</v>
      </c>
    </row>
    <row r="6" spans="1:9" ht="12">
      <c r="A6" s="9">
        <v>1</v>
      </c>
      <c r="B6" s="123">
        <v>2</v>
      </c>
      <c r="C6" s="123">
        <v>3</v>
      </c>
      <c r="D6" s="123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</row>
    <row r="7" spans="1:9" ht="15.75" customHeight="1">
      <c r="A7" s="230" t="s">
        <v>84</v>
      </c>
      <c r="B7" s="231"/>
      <c r="C7" s="231"/>
      <c r="D7" s="231"/>
      <c r="E7" s="231"/>
      <c r="F7" s="231"/>
      <c r="G7" s="231"/>
      <c r="H7" s="231"/>
      <c r="I7" s="232"/>
    </row>
    <row r="8" spans="1:9" ht="24">
      <c r="A8" s="152" t="s">
        <v>85</v>
      </c>
      <c r="B8" s="153">
        <v>3000</v>
      </c>
      <c r="C8" s="154">
        <f aca="true" t="shared" si="0" ref="C8:I8">C9+C10+C11+C12+C15+C19</f>
        <v>9319.1</v>
      </c>
      <c r="D8" s="154">
        <f t="shared" si="0"/>
        <v>13173</v>
      </c>
      <c r="E8" s="154">
        <f>E9+E10+E11+E12+E15+E19</f>
        <v>14319</v>
      </c>
      <c r="F8" s="154">
        <f t="shared" si="0"/>
        <v>3080</v>
      </c>
      <c r="G8" s="154">
        <f t="shared" si="0"/>
        <v>4373</v>
      </c>
      <c r="H8" s="154">
        <f>H9+H10+H11+H12+H15+H19</f>
        <v>4103</v>
      </c>
      <c r="I8" s="154">
        <f t="shared" si="0"/>
        <v>2763</v>
      </c>
    </row>
    <row r="9" spans="1:9" ht="24">
      <c r="A9" s="125" t="s">
        <v>86</v>
      </c>
      <c r="B9" s="126">
        <v>3010</v>
      </c>
      <c r="C9" s="127"/>
      <c r="D9" s="155"/>
      <c r="E9" s="155"/>
      <c r="F9" s="155"/>
      <c r="G9" s="155"/>
      <c r="H9" s="155"/>
      <c r="I9" s="155"/>
    </row>
    <row r="10" spans="1:9" ht="24">
      <c r="A10" s="125" t="s">
        <v>87</v>
      </c>
      <c r="B10" s="126">
        <v>3020</v>
      </c>
      <c r="C10" s="127"/>
      <c r="D10" s="155"/>
      <c r="E10" s="155"/>
      <c r="F10" s="155"/>
      <c r="G10" s="155"/>
      <c r="H10" s="155"/>
      <c r="I10" s="155"/>
    </row>
    <row r="11" spans="1:9" ht="12">
      <c r="A11" s="125" t="s">
        <v>88</v>
      </c>
      <c r="B11" s="126">
        <v>3021</v>
      </c>
      <c r="C11" s="127"/>
      <c r="D11" s="155"/>
      <c r="E11" s="155"/>
      <c r="F11" s="155"/>
      <c r="G11" s="155"/>
      <c r="H11" s="155"/>
      <c r="I11" s="155"/>
    </row>
    <row r="12" spans="1:9" ht="28.5" customHeight="1">
      <c r="A12" s="125" t="s">
        <v>279</v>
      </c>
      <c r="B12" s="128">
        <v>3030</v>
      </c>
      <c r="C12" s="154">
        <f aca="true" t="shared" si="1" ref="C12:I12">C13+C14</f>
        <v>9217.6</v>
      </c>
      <c r="D12" s="154">
        <f t="shared" si="1"/>
        <v>13139</v>
      </c>
      <c r="E12" s="154">
        <f t="shared" si="1"/>
        <v>14285</v>
      </c>
      <c r="F12" s="154">
        <f t="shared" si="1"/>
        <v>3072</v>
      </c>
      <c r="G12" s="154">
        <f t="shared" si="1"/>
        <v>4365</v>
      </c>
      <c r="H12" s="154">
        <f t="shared" si="1"/>
        <v>4094</v>
      </c>
      <c r="I12" s="154">
        <f t="shared" si="1"/>
        <v>2754</v>
      </c>
    </row>
    <row r="13" spans="1:9" ht="60">
      <c r="A13" s="156" t="s">
        <v>281</v>
      </c>
      <c r="B13" s="126" t="s">
        <v>280</v>
      </c>
      <c r="C13" s="155">
        <v>9174.6</v>
      </c>
      <c r="D13" s="155">
        <f>12063+1076</f>
        <v>13139</v>
      </c>
      <c r="E13" s="155">
        <f>12063+1076+1146</f>
        <v>14285</v>
      </c>
      <c r="F13" s="155">
        <f>'І Фін результат'!F69</f>
        <v>3072</v>
      </c>
      <c r="G13" s="155">
        <f>'І Фін результат'!G69</f>
        <v>4365</v>
      </c>
      <c r="H13" s="155">
        <f>'І Фін результат'!H69</f>
        <v>4094</v>
      </c>
      <c r="I13" s="155">
        <f>'І Фін результат'!I69</f>
        <v>2754</v>
      </c>
    </row>
    <row r="14" spans="1:9" ht="60">
      <c r="A14" s="156" t="s">
        <v>281</v>
      </c>
      <c r="B14" s="126" t="s">
        <v>282</v>
      </c>
      <c r="C14" s="155">
        <v>43</v>
      </c>
      <c r="D14" s="127"/>
      <c r="E14" s="127"/>
      <c r="F14" s="157"/>
      <c r="G14" s="157"/>
      <c r="H14" s="157"/>
      <c r="I14" s="157"/>
    </row>
    <row r="15" spans="1:9" ht="24">
      <c r="A15" s="125" t="s">
        <v>89</v>
      </c>
      <c r="B15" s="128">
        <v>3040</v>
      </c>
      <c r="C15" s="154">
        <f>C16+C17</f>
        <v>55.400000000000006</v>
      </c>
      <c r="D15" s="154">
        <f aca="true" t="shared" si="2" ref="D15:I15">D16+D17</f>
        <v>34</v>
      </c>
      <c r="E15" s="154">
        <f t="shared" si="2"/>
        <v>34</v>
      </c>
      <c r="F15" s="154">
        <f t="shared" si="2"/>
        <v>8</v>
      </c>
      <c r="G15" s="154">
        <f t="shared" si="2"/>
        <v>8</v>
      </c>
      <c r="H15" s="154">
        <f t="shared" si="2"/>
        <v>9</v>
      </c>
      <c r="I15" s="154">
        <f t="shared" si="2"/>
        <v>9</v>
      </c>
    </row>
    <row r="16" spans="1:9" ht="144">
      <c r="A16" s="133" t="s">
        <v>312</v>
      </c>
      <c r="B16" s="126" t="s">
        <v>311</v>
      </c>
      <c r="C16" s="154">
        <v>22.3</v>
      </c>
      <c r="D16" s="155"/>
      <c r="E16" s="155"/>
      <c r="F16" s="155"/>
      <c r="G16" s="155"/>
      <c r="H16" s="155"/>
      <c r="I16" s="155"/>
    </row>
    <row r="17" spans="1:9" ht="12">
      <c r="A17" s="195" t="s">
        <v>313</v>
      </c>
      <c r="B17" s="126" t="s">
        <v>314</v>
      </c>
      <c r="C17" s="154">
        <v>33.1</v>
      </c>
      <c r="D17" s="155">
        <v>34</v>
      </c>
      <c r="E17" s="155">
        <v>34</v>
      </c>
      <c r="F17" s="155">
        <v>8</v>
      </c>
      <c r="G17" s="155">
        <v>8</v>
      </c>
      <c r="H17" s="155">
        <v>9</v>
      </c>
      <c r="I17" s="155">
        <v>9</v>
      </c>
    </row>
    <row r="18" spans="1:9" ht="36">
      <c r="A18" s="125" t="s">
        <v>283</v>
      </c>
      <c r="B18" s="126">
        <v>3050</v>
      </c>
      <c r="C18" s="155"/>
      <c r="D18" s="127"/>
      <c r="E18" s="127"/>
      <c r="F18" s="127"/>
      <c r="G18" s="127"/>
      <c r="H18" s="127"/>
      <c r="I18" s="127"/>
    </row>
    <row r="19" spans="1:9" ht="12">
      <c r="A19" s="125" t="s">
        <v>319</v>
      </c>
      <c r="B19" s="128">
        <v>3060</v>
      </c>
      <c r="C19" s="154">
        <f>C20+C21</f>
        <v>46.1</v>
      </c>
      <c r="D19" s="154">
        <f aca="true" t="shared" si="3" ref="D19:I19">D20+D21</f>
        <v>0</v>
      </c>
      <c r="E19" s="154">
        <f t="shared" si="3"/>
        <v>0</v>
      </c>
      <c r="F19" s="154">
        <f t="shared" si="3"/>
        <v>0</v>
      </c>
      <c r="G19" s="154">
        <f t="shared" si="3"/>
        <v>0</v>
      </c>
      <c r="H19" s="154">
        <f t="shared" si="3"/>
        <v>0</v>
      </c>
      <c r="I19" s="154">
        <f t="shared" si="3"/>
        <v>0</v>
      </c>
    </row>
    <row r="20" spans="1:9" ht="36">
      <c r="A20" s="125" t="s">
        <v>284</v>
      </c>
      <c r="B20" s="126" t="s">
        <v>285</v>
      </c>
      <c r="C20" s="155">
        <v>46.1</v>
      </c>
      <c r="D20" s="127"/>
      <c r="E20" s="127"/>
      <c r="F20" s="127"/>
      <c r="G20" s="127"/>
      <c r="H20" s="127"/>
      <c r="I20" s="127"/>
    </row>
    <row r="21" spans="1:9" ht="48">
      <c r="A21" s="125" t="s">
        <v>309</v>
      </c>
      <c r="B21" s="126" t="s">
        <v>286</v>
      </c>
      <c r="C21" s="155"/>
      <c r="D21" s="155"/>
      <c r="E21" s="155"/>
      <c r="F21" s="155"/>
      <c r="G21" s="155"/>
      <c r="H21" s="155"/>
      <c r="I21" s="155"/>
    </row>
    <row r="22" spans="1:9" ht="24">
      <c r="A22" s="124" t="s">
        <v>90</v>
      </c>
      <c r="B22" s="128">
        <v>3100</v>
      </c>
      <c r="C22" s="154">
        <f>C23+C24+C25+C26+C39+C42</f>
        <v>8545.699999999999</v>
      </c>
      <c r="D22" s="154">
        <f aca="true" t="shared" si="4" ref="D22:I22">D23+D24+D25+D26+D27+D28+D29+D32+D3+D39+D41+D42</f>
        <v>12097</v>
      </c>
      <c r="E22" s="154">
        <f>E23+E24+E25+E26+E27+E28+E29+E32+E3+E39+E41+E42</f>
        <v>12097</v>
      </c>
      <c r="F22" s="154">
        <f t="shared" si="4"/>
        <v>3080</v>
      </c>
      <c r="G22" s="154">
        <f t="shared" si="4"/>
        <v>3297</v>
      </c>
      <c r="H22" s="154">
        <f t="shared" si="4"/>
        <v>2957</v>
      </c>
      <c r="I22" s="154">
        <f t="shared" si="4"/>
        <v>2763</v>
      </c>
    </row>
    <row r="23" spans="1:9" ht="24">
      <c r="A23" s="125" t="s">
        <v>91</v>
      </c>
      <c r="B23" s="126">
        <v>3110</v>
      </c>
      <c r="C23" s="127">
        <v>2251</v>
      </c>
      <c r="D23" s="155">
        <v>3624</v>
      </c>
      <c r="E23" s="155">
        <v>3624</v>
      </c>
      <c r="F23" s="155">
        <v>961</v>
      </c>
      <c r="G23" s="155">
        <v>1179</v>
      </c>
      <c r="H23" s="155">
        <v>840</v>
      </c>
      <c r="I23" s="155">
        <v>644</v>
      </c>
    </row>
    <row r="24" spans="1:9" ht="15" customHeight="1">
      <c r="A24" s="125" t="s">
        <v>92</v>
      </c>
      <c r="B24" s="126">
        <v>3120</v>
      </c>
      <c r="C24" s="127">
        <f>'V ОП'!C10-'ІІІ Рух грошових коштів'!C30-'ІІІ Рух грошових коштів'!C35</f>
        <v>4172.000000000001</v>
      </c>
      <c r="D24" s="155">
        <v>5591</v>
      </c>
      <c r="E24" s="155">
        <f>'V ОП'!E10-'ІІІ Рух грошових коштів'!E29-'ІІІ Рух грошових коштів'!E35</f>
        <v>5591</v>
      </c>
      <c r="F24" s="155">
        <v>1398</v>
      </c>
      <c r="G24" s="155">
        <v>1397</v>
      </c>
      <c r="H24" s="155">
        <v>1397</v>
      </c>
      <c r="I24" s="155">
        <v>1399</v>
      </c>
    </row>
    <row r="25" spans="1:9" ht="24.75" customHeight="1">
      <c r="A25" s="125" t="s">
        <v>287</v>
      </c>
      <c r="B25" s="126">
        <v>3130</v>
      </c>
      <c r="C25" s="127"/>
      <c r="D25" s="155"/>
      <c r="E25" s="155"/>
      <c r="F25" s="155"/>
      <c r="G25" s="155"/>
      <c r="H25" s="155"/>
      <c r="I25" s="155"/>
    </row>
    <row r="26" spans="1:9" ht="36">
      <c r="A26" s="124" t="s">
        <v>93</v>
      </c>
      <c r="B26" s="126">
        <v>3140</v>
      </c>
      <c r="C26" s="154">
        <f>C27+C29+C32+C39</f>
        <v>2084</v>
      </c>
      <c r="D26" s="154"/>
      <c r="E26" s="154"/>
      <c r="F26" s="154"/>
      <c r="G26" s="154"/>
      <c r="H26" s="154"/>
      <c r="I26" s="154"/>
    </row>
    <row r="27" spans="1:9" ht="12">
      <c r="A27" s="125" t="s">
        <v>108</v>
      </c>
      <c r="B27" s="8">
        <v>3141</v>
      </c>
      <c r="C27" s="155">
        <f>'ІІ Розр з бюджетом'!C31</f>
        <v>1.3</v>
      </c>
      <c r="D27" s="155"/>
      <c r="E27" s="155"/>
      <c r="F27" s="155"/>
      <c r="G27" s="155"/>
      <c r="H27" s="155"/>
      <c r="I27" s="155"/>
    </row>
    <row r="28" spans="1:9" ht="12">
      <c r="A28" s="125" t="s">
        <v>94</v>
      </c>
      <c r="B28" s="8">
        <v>3142</v>
      </c>
      <c r="C28" s="127"/>
      <c r="D28" s="155"/>
      <c r="E28" s="155"/>
      <c r="F28" s="155"/>
      <c r="G28" s="155"/>
      <c r="H28" s="155"/>
      <c r="I28" s="155"/>
    </row>
    <row r="29" spans="1:9" ht="12">
      <c r="A29" s="125" t="s">
        <v>73</v>
      </c>
      <c r="B29" s="8">
        <v>3143</v>
      </c>
      <c r="C29" s="155">
        <f>'ІІ Розр з бюджетом'!C26</f>
        <v>940</v>
      </c>
      <c r="D29" s="155">
        <v>1250</v>
      </c>
      <c r="E29" s="155">
        <f>ROUND('V ОП'!E10*0.18,0)</f>
        <v>1250</v>
      </c>
      <c r="F29" s="155">
        <v>313</v>
      </c>
      <c r="G29" s="155">
        <v>313</v>
      </c>
      <c r="H29" s="155">
        <v>312</v>
      </c>
      <c r="I29" s="155">
        <v>312</v>
      </c>
    </row>
    <row r="30" spans="1:9" ht="12">
      <c r="A30" s="125" t="s">
        <v>288</v>
      </c>
      <c r="B30" s="8" t="s">
        <v>289</v>
      </c>
      <c r="C30" s="155">
        <v>932.9</v>
      </c>
      <c r="D30" s="155"/>
      <c r="E30" s="155"/>
      <c r="F30" s="155"/>
      <c r="G30" s="155"/>
      <c r="H30" s="155"/>
      <c r="I30" s="155"/>
    </row>
    <row r="31" spans="1:9" ht="12">
      <c r="A31" s="125" t="s">
        <v>290</v>
      </c>
      <c r="B31" s="8" t="s">
        <v>291</v>
      </c>
      <c r="C31" s="155">
        <f>C29-C30</f>
        <v>7.100000000000023</v>
      </c>
      <c r="D31" s="155"/>
      <c r="E31" s="155"/>
      <c r="F31" s="155"/>
      <c r="G31" s="155"/>
      <c r="H31" s="155"/>
      <c r="I31" s="155"/>
    </row>
    <row r="32" spans="1:9" ht="24">
      <c r="A32" s="125" t="s">
        <v>95</v>
      </c>
      <c r="B32" s="158">
        <v>3144</v>
      </c>
      <c r="C32" s="154">
        <f>C33+C34+C37</f>
        <v>1142.3999999999999</v>
      </c>
      <c r="D32" s="154">
        <f aca="true" t="shared" si="5" ref="D32:I32">D33+D34+D37</f>
        <v>1632</v>
      </c>
      <c r="E32" s="154">
        <f>E33+E34+E37</f>
        <v>1632</v>
      </c>
      <c r="F32" s="154">
        <f>F33+F34+F37</f>
        <v>408</v>
      </c>
      <c r="G32" s="154">
        <f>G33+G34+G37</f>
        <v>408</v>
      </c>
      <c r="H32" s="154">
        <f t="shared" si="5"/>
        <v>408</v>
      </c>
      <c r="I32" s="154">
        <f t="shared" si="5"/>
        <v>408</v>
      </c>
    </row>
    <row r="33" spans="1:9" ht="24">
      <c r="A33" s="125" t="s">
        <v>146</v>
      </c>
      <c r="B33" s="8" t="s">
        <v>157</v>
      </c>
      <c r="C33" s="155">
        <f>'ІІ Розр з бюджетом'!C32</f>
        <v>6.5</v>
      </c>
      <c r="D33" s="155"/>
      <c r="E33" s="155"/>
      <c r="F33" s="155"/>
      <c r="G33" s="155"/>
      <c r="H33" s="155"/>
      <c r="I33" s="155"/>
    </row>
    <row r="34" spans="1:9" ht="12">
      <c r="A34" s="125" t="s">
        <v>271</v>
      </c>
      <c r="B34" s="8" t="s">
        <v>292</v>
      </c>
      <c r="C34" s="155">
        <f>'ІІ Розр з бюджетом'!C30</f>
        <v>78.3</v>
      </c>
      <c r="D34" s="155">
        <v>104</v>
      </c>
      <c r="E34" s="155">
        <f>E35+E36</f>
        <v>104</v>
      </c>
      <c r="F34" s="155">
        <f>F35+F36</f>
        <v>26</v>
      </c>
      <c r="G34" s="155">
        <f>G35+G36</f>
        <v>26</v>
      </c>
      <c r="H34" s="155">
        <f>H35+H36</f>
        <v>26</v>
      </c>
      <c r="I34" s="155">
        <f>I35+I36</f>
        <v>26</v>
      </c>
    </row>
    <row r="35" spans="1:9" ht="12">
      <c r="A35" s="125" t="s">
        <v>293</v>
      </c>
      <c r="B35" s="159" t="s">
        <v>294</v>
      </c>
      <c r="C35" s="131">
        <v>77.7</v>
      </c>
      <c r="D35" s="155">
        <v>104</v>
      </c>
      <c r="E35" s="155">
        <f>ROUND('V ОП'!E10*1.5/100,0)</f>
        <v>104</v>
      </c>
      <c r="F35" s="155">
        <v>26</v>
      </c>
      <c r="G35" s="155">
        <v>26</v>
      </c>
      <c r="H35" s="155">
        <v>26</v>
      </c>
      <c r="I35" s="155">
        <v>26</v>
      </c>
    </row>
    <row r="36" spans="1:9" ht="12">
      <c r="A36" s="125" t="s">
        <v>295</v>
      </c>
      <c r="B36" s="159" t="s">
        <v>296</v>
      </c>
      <c r="C36" s="155">
        <f>C34-C35</f>
        <v>0.5999999999999943</v>
      </c>
      <c r="D36" s="154"/>
      <c r="E36" s="154"/>
      <c r="F36" s="154"/>
      <c r="G36" s="154"/>
      <c r="H36" s="154"/>
      <c r="I36" s="154"/>
    </row>
    <row r="37" spans="1:9" ht="36">
      <c r="A37" s="125" t="s">
        <v>297</v>
      </c>
      <c r="B37" s="8" t="s">
        <v>298</v>
      </c>
      <c r="C37" s="155">
        <f>'ІІ Розр з бюджетом'!C35</f>
        <v>1057.6</v>
      </c>
      <c r="D37" s="155">
        <v>1528</v>
      </c>
      <c r="E37" s="155">
        <f>'V ОП'!E18-'V ОП'!E10</f>
        <v>1528</v>
      </c>
      <c r="F37" s="155">
        <v>382</v>
      </c>
      <c r="G37" s="155">
        <v>382</v>
      </c>
      <c r="H37" s="155">
        <v>382</v>
      </c>
      <c r="I37" s="155">
        <v>382</v>
      </c>
    </row>
    <row r="38" spans="1:9" ht="36">
      <c r="A38" s="125" t="s">
        <v>299</v>
      </c>
      <c r="B38" s="159" t="s">
        <v>300</v>
      </c>
      <c r="C38" s="129"/>
      <c r="D38" s="154"/>
      <c r="E38" s="154"/>
      <c r="F38" s="154"/>
      <c r="G38" s="154"/>
      <c r="H38" s="154"/>
      <c r="I38" s="154"/>
    </row>
    <row r="39" spans="1:9" ht="12">
      <c r="A39" s="125" t="s">
        <v>96</v>
      </c>
      <c r="B39" s="8">
        <v>3150</v>
      </c>
      <c r="C39" s="154">
        <f>C40</f>
        <v>0.3</v>
      </c>
      <c r="D39" s="154"/>
      <c r="E39" s="154"/>
      <c r="F39" s="154"/>
      <c r="G39" s="154"/>
      <c r="H39" s="154"/>
      <c r="I39" s="154"/>
    </row>
    <row r="40" spans="1:9" ht="12">
      <c r="A40" s="125" t="s">
        <v>301</v>
      </c>
      <c r="B40" s="8" t="s">
        <v>318</v>
      </c>
      <c r="C40" s="155">
        <f>'ІІ Розр з бюджетом'!C27</f>
        <v>0.3</v>
      </c>
      <c r="D40" s="154"/>
      <c r="E40" s="154"/>
      <c r="F40" s="154"/>
      <c r="G40" s="154"/>
      <c r="H40" s="154"/>
      <c r="I40" s="154"/>
    </row>
    <row r="41" spans="1:9" ht="12">
      <c r="A41" s="125" t="s">
        <v>97</v>
      </c>
      <c r="B41" s="126">
        <v>3160</v>
      </c>
      <c r="C41" s="129"/>
      <c r="D41" s="154"/>
      <c r="E41" s="154"/>
      <c r="F41" s="154"/>
      <c r="G41" s="154"/>
      <c r="H41" s="154"/>
      <c r="I41" s="154"/>
    </row>
    <row r="42" spans="1:9" ht="12">
      <c r="A42" s="125" t="s">
        <v>18</v>
      </c>
      <c r="B42" s="128">
        <v>3170</v>
      </c>
      <c r="C42" s="154">
        <f>C43</f>
        <v>38.399999999999984</v>
      </c>
      <c r="D42" s="154">
        <f aca="true" t="shared" si="6" ref="D42:I42">D43</f>
        <v>0</v>
      </c>
      <c r="E42" s="154">
        <f t="shared" si="6"/>
        <v>0</v>
      </c>
      <c r="F42" s="154">
        <f t="shared" si="6"/>
        <v>0</v>
      </c>
      <c r="G42" s="154">
        <f t="shared" si="6"/>
        <v>0</v>
      </c>
      <c r="H42" s="154">
        <f t="shared" si="6"/>
        <v>0</v>
      </c>
      <c r="I42" s="154">
        <f t="shared" si="6"/>
        <v>0</v>
      </c>
    </row>
    <row r="43" spans="1:9" ht="24">
      <c r="A43" s="125" t="s">
        <v>302</v>
      </c>
      <c r="B43" s="126" t="s">
        <v>303</v>
      </c>
      <c r="C43" s="155">
        <f>C20-C31-C36</f>
        <v>38.399999999999984</v>
      </c>
      <c r="D43" s="154"/>
      <c r="E43" s="154"/>
      <c r="F43" s="154"/>
      <c r="G43" s="154"/>
      <c r="H43" s="154"/>
      <c r="I43" s="154"/>
    </row>
    <row r="44" spans="1:9" ht="24">
      <c r="A44" s="124" t="s">
        <v>98</v>
      </c>
      <c r="B44" s="128">
        <v>3195</v>
      </c>
      <c r="C44" s="155">
        <f aca="true" t="shared" si="7" ref="C44:I44">C8-C22</f>
        <v>773.4000000000015</v>
      </c>
      <c r="D44" s="155">
        <f t="shared" si="7"/>
        <v>1076</v>
      </c>
      <c r="E44" s="155">
        <f>E8-E22</f>
        <v>2222</v>
      </c>
      <c r="F44" s="155">
        <f t="shared" si="7"/>
        <v>0</v>
      </c>
      <c r="G44" s="155">
        <f t="shared" si="7"/>
        <v>1076</v>
      </c>
      <c r="H44" s="155">
        <f t="shared" si="7"/>
        <v>1146</v>
      </c>
      <c r="I44" s="155">
        <f t="shared" si="7"/>
        <v>0</v>
      </c>
    </row>
    <row r="45" spans="1:9" ht="12">
      <c r="A45" s="230" t="s">
        <v>99</v>
      </c>
      <c r="B45" s="231"/>
      <c r="C45" s="231"/>
      <c r="D45" s="231"/>
      <c r="E45" s="231"/>
      <c r="F45" s="231"/>
      <c r="G45" s="231"/>
      <c r="H45" s="231"/>
      <c r="I45" s="232"/>
    </row>
    <row r="46" spans="1:9" ht="24">
      <c r="A46" s="152" t="s">
        <v>100</v>
      </c>
      <c r="B46" s="153">
        <v>3200</v>
      </c>
      <c r="C46" s="129">
        <f>C47+C48+C49</f>
        <v>0</v>
      </c>
      <c r="D46" s="129">
        <f aca="true" t="shared" si="8" ref="D46:I46">D47+D48+D49</f>
        <v>0</v>
      </c>
      <c r="E46" s="129">
        <f>E47+E48+E49</f>
        <v>0</v>
      </c>
      <c r="F46" s="129">
        <f t="shared" si="8"/>
        <v>0</v>
      </c>
      <c r="G46" s="129">
        <f t="shared" si="8"/>
        <v>0</v>
      </c>
      <c r="H46" s="129">
        <f t="shared" si="8"/>
        <v>0</v>
      </c>
      <c r="I46" s="129">
        <f t="shared" si="8"/>
        <v>0</v>
      </c>
    </row>
    <row r="47" spans="1:9" ht="24">
      <c r="A47" s="125" t="s">
        <v>101</v>
      </c>
      <c r="B47" s="8">
        <v>3210</v>
      </c>
      <c r="C47" s="127"/>
      <c r="D47" s="127"/>
      <c r="E47" s="127"/>
      <c r="F47" s="127"/>
      <c r="G47" s="127"/>
      <c r="H47" s="127"/>
      <c r="I47" s="127"/>
    </row>
    <row r="48" spans="1:9" ht="24">
      <c r="A48" s="125" t="s">
        <v>102</v>
      </c>
      <c r="B48" s="126">
        <v>3220</v>
      </c>
      <c r="C48" s="127"/>
      <c r="D48" s="127"/>
      <c r="E48" s="127"/>
      <c r="F48" s="127"/>
      <c r="G48" s="127"/>
      <c r="H48" s="127"/>
      <c r="I48" s="127"/>
    </row>
    <row r="49" spans="1:9" ht="12">
      <c r="A49" s="125" t="s">
        <v>319</v>
      </c>
      <c r="B49" s="126">
        <v>3230</v>
      </c>
      <c r="C49" s="127"/>
      <c r="D49" s="127"/>
      <c r="E49" s="127"/>
      <c r="F49" s="127"/>
      <c r="G49" s="127"/>
      <c r="H49" s="127"/>
      <c r="I49" s="127"/>
    </row>
    <row r="50" spans="1:9" ht="24">
      <c r="A50" s="124" t="s">
        <v>103</v>
      </c>
      <c r="B50" s="128">
        <v>3255</v>
      </c>
      <c r="C50" s="154">
        <f aca="true" t="shared" si="9" ref="C50:I50">C51+C54+C55+C56</f>
        <v>738.9000000000001</v>
      </c>
      <c r="D50" s="129">
        <f t="shared" si="9"/>
        <v>1076</v>
      </c>
      <c r="E50" s="154">
        <f>E51+E54+E55+E56</f>
        <v>2222</v>
      </c>
      <c r="F50" s="129">
        <f t="shared" si="9"/>
        <v>0</v>
      </c>
      <c r="G50" s="154">
        <f t="shared" si="9"/>
        <v>1076</v>
      </c>
      <c r="H50" s="129">
        <f t="shared" si="9"/>
        <v>1146</v>
      </c>
      <c r="I50" s="129">
        <f t="shared" si="9"/>
        <v>0</v>
      </c>
    </row>
    <row r="51" spans="1:9" ht="24">
      <c r="A51" s="125" t="s">
        <v>320</v>
      </c>
      <c r="B51" s="126">
        <v>3260</v>
      </c>
      <c r="C51" s="155">
        <f>C52+C53</f>
        <v>738.9000000000001</v>
      </c>
      <c r="D51" s="127">
        <f aca="true" t="shared" si="10" ref="D51:I51">D52+D53</f>
        <v>1076</v>
      </c>
      <c r="E51" s="155">
        <f t="shared" si="10"/>
        <v>2222</v>
      </c>
      <c r="F51" s="127">
        <f t="shared" si="10"/>
        <v>0</v>
      </c>
      <c r="G51" s="155">
        <f>G52+G53</f>
        <v>1076</v>
      </c>
      <c r="H51" s="127">
        <f>H52+H53</f>
        <v>1146</v>
      </c>
      <c r="I51" s="127">
        <f t="shared" si="10"/>
        <v>0</v>
      </c>
    </row>
    <row r="52" spans="1:9" ht="24">
      <c r="A52" s="125" t="s">
        <v>304</v>
      </c>
      <c r="B52" s="126" t="s">
        <v>305</v>
      </c>
      <c r="C52" s="155">
        <f>'ІV Кап інвестиції'!C10</f>
        <v>119.7</v>
      </c>
      <c r="D52" s="127">
        <f>'ІV Кап інвестиції'!D9</f>
        <v>1076</v>
      </c>
      <c r="E52" s="155">
        <f>'ІV Кап інвестиції'!E9</f>
        <v>2222</v>
      </c>
      <c r="F52" s="127"/>
      <c r="G52" s="155">
        <f>'ІV Кап інвестиції'!G9</f>
        <v>1076</v>
      </c>
      <c r="H52" s="129">
        <f>'ІV Кап інвестиції'!H9</f>
        <v>1146</v>
      </c>
      <c r="I52" s="129"/>
    </row>
    <row r="53" spans="1:9" ht="24">
      <c r="A53" s="125" t="s">
        <v>306</v>
      </c>
      <c r="B53" s="126" t="s">
        <v>307</v>
      </c>
      <c r="C53" s="155">
        <f>'ІV Кап інвестиції'!C9</f>
        <v>619.2</v>
      </c>
      <c r="D53" s="127"/>
      <c r="E53" s="127"/>
      <c r="F53" s="127"/>
      <c r="G53" s="127"/>
      <c r="H53" s="127"/>
      <c r="I53" s="127"/>
    </row>
    <row r="54" spans="1:9" ht="24">
      <c r="A54" s="125" t="s">
        <v>321</v>
      </c>
      <c r="B54" s="126">
        <v>3265</v>
      </c>
      <c r="C54" s="127"/>
      <c r="D54" s="127"/>
      <c r="E54" s="127"/>
      <c r="F54" s="127"/>
      <c r="G54" s="127"/>
      <c r="H54" s="127"/>
      <c r="I54" s="127"/>
    </row>
    <row r="55" spans="1:9" ht="36">
      <c r="A55" s="125" t="s">
        <v>322</v>
      </c>
      <c r="B55" s="126">
        <v>3270</v>
      </c>
      <c r="C55" s="127"/>
      <c r="D55" s="127"/>
      <c r="E55" s="127"/>
      <c r="F55" s="127"/>
      <c r="G55" s="127"/>
      <c r="H55" s="127"/>
      <c r="I55" s="127"/>
    </row>
    <row r="56" spans="1:9" ht="12">
      <c r="A56" s="125" t="s">
        <v>18</v>
      </c>
      <c r="B56" s="126">
        <v>3280</v>
      </c>
      <c r="C56" s="127"/>
      <c r="D56" s="127"/>
      <c r="E56" s="127"/>
      <c r="F56" s="127"/>
      <c r="G56" s="127"/>
      <c r="H56" s="127"/>
      <c r="I56" s="127"/>
    </row>
    <row r="57" spans="1:9" ht="24">
      <c r="A57" s="160" t="s">
        <v>104</v>
      </c>
      <c r="B57" s="161">
        <v>3295</v>
      </c>
      <c r="C57" s="162">
        <f aca="true" t="shared" si="11" ref="C57:I57">C46-C50</f>
        <v>-738.9000000000001</v>
      </c>
      <c r="D57" s="127">
        <f>D46-D50</f>
        <v>-1076</v>
      </c>
      <c r="E57" s="127">
        <f>E46-E50</f>
        <v>-2222</v>
      </c>
      <c r="F57" s="127">
        <f t="shared" si="11"/>
        <v>0</v>
      </c>
      <c r="G57" s="127">
        <f t="shared" si="11"/>
        <v>-1076</v>
      </c>
      <c r="H57" s="127">
        <f t="shared" si="11"/>
        <v>-1146</v>
      </c>
      <c r="I57" s="127">
        <f t="shared" si="11"/>
        <v>0</v>
      </c>
    </row>
    <row r="58" spans="1:9" ht="12">
      <c r="A58" s="124" t="s">
        <v>105</v>
      </c>
      <c r="B58" s="128">
        <v>3400</v>
      </c>
      <c r="C58" s="163">
        <f>C44+C57</f>
        <v>34.500000000001364</v>
      </c>
      <c r="D58" s="127">
        <f aca="true" t="shared" si="12" ref="D58:I58">D44+D57</f>
        <v>0</v>
      </c>
      <c r="E58" s="127">
        <f>E44+E57</f>
        <v>0</v>
      </c>
      <c r="F58" s="129">
        <f t="shared" si="12"/>
        <v>0</v>
      </c>
      <c r="G58" s="129">
        <f>G44+G57</f>
        <v>0</v>
      </c>
      <c r="H58" s="129">
        <f t="shared" si="12"/>
        <v>0</v>
      </c>
      <c r="I58" s="129">
        <f t="shared" si="12"/>
        <v>0</v>
      </c>
    </row>
    <row r="59" spans="1:9" ht="12">
      <c r="A59" s="125" t="s">
        <v>106</v>
      </c>
      <c r="B59" s="126">
        <v>3405</v>
      </c>
      <c r="C59" s="164">
        <v>20.8</v>
      </c>
      <c r="D59" s="127"/>
      <c r="E59" s="127"/>
      <c r="F59" s="127"/>
      <c r="G59" s="127"/>
      <c r="H59" s="127"/>
      <c r="I59" s="127"/>
    </row>
    <row r="60" spans="1:9" ht="12">
      <c r="A60" s="125" t="s">
        <v>107</v>
      </c>
      <c r="B60" s="126">
        <v>3415</v>
      </c>
      <c r="C60" s="164">
        <f>SUM(C58:C59)</f>
        <v>55.30000000000136</v>
      </c>
      <c r="D60" s="127"/>
      <c r="E60" s="127"/>
      <c r="F60" s="127"/>
      <c r="G60" s="127"/>
      <c r="H60" s="127"/>
      <c r="I60" s="127"/>
    </row>
    <row r="61" spans="1:9" ht="13.5" customHeight="1">
      <c r="A61" s="165"/>
      <c r="B61" s="166"/>
      <c r="C61" s="167"/>
      <c r="D61" s="168"/>
      <c r="E61" s="169"/>
      <c r="F61" s="168"/>
      <c r="G61" s="168"/>
      <c r="H61" s="168"/>
      <c r="I61" s="168"/>
    </row>
    <row r="62" spans="1:16" s="170" customFormat="1" ht="12">
      <c r="A62" s="145" t="s">
        <v>266</v>
      </c>
      <c r="B62" s="146"/>
      <c r="C62" s="147"/>
      <c r="D62" s="148" t="s">
        <v>267</v>
      </c>
      <c r="E62" s="149"/>
      <c r="F62" s="171"/>
      <c r="G62" s="150"/>
      <c r="H62" s="150"/>
      <c r="I62" s="150"/>
      <c r="J62" s="36"/>
      <c r="K62" s="36"/>
      <c r="L62" s="36"/>
      <c r="M62" s="171"/>
      <c r="N62" s="150"/>
      <c r="O62" s="150"/>
      <c r="P62" s="150"/>
    </row>
    <row r="63" spans="1:9" s="170" customFormat="1" ht="12">
      <c r="A63" s="172"/>
      <c r="B63" s="172"/>
      <c r="C63" s="172"/>
      <c r="D63" s="172"/>
      <c r="E63" s="172"/>
      <c r="F63" s="172"/>
      <c r="G63" s="172"/>
      <c r="H63" s="172"/>
      <c r="I63" s="172"/>
    </row>
    <row r="64" spans="1:9" s="170" customFormat="1" ht="12">
      <c r="A64" s="172"/>
      <c r="B64" s="172"/>
      <c r="C64" s="172"/>
      <c r="D64" s="172"/>
      <c r="E64" s="172"/>
      <c r="F64" s="172"/>
      <c r="G64" s="172"/>
      <c r="H64" s="172"/>
      <c r="I64" s="172"/>
    </row>
    <row r="65" spans="1:9" ht="12">
      <c r="A65" s="120"/>
      <c r="B65" s="120"/>
      <c r="I65" s="120"/>
    </row>
    <row r="66" spans="1:9" ht="12">
      <c r="A66" s="120"/>
      <c r="B66" s="120"/>
      <c r="I66" s="120"/>
    </row>
    <row r="67" spans="1:9" ht="12">
      <c r="A67" s="120"/>
      <c r="B67" s="120"/>
      <c r="I67" s="120"/>
    </row>
    <row r="68" spans="1:9" ht="12">
      <c r="A68" s="120"/>
      <c r="B68" s="120"/>
      <c r="I68" s="120"/>
    </row>
    <row r="69" spans="1:9" ht="12">
      <c r="A69" s="120"/>
      <c r="B69" s="120"/>
      <c r="I69" s="120"/>
    </row>
    <row r="70" spans="1:9" ht="12">
      <c r="A70" s="120"/>
      <c r="B70" s="120"/>
      <c r="I70" s="120"/>
    </row>
    <row r="71" spans="1:9" ht="12">
      <c r="A71" s="120"/>
      <c r="B71" s="120"/>
      <c r="I71" s="120"/>
    </row>
    <row r="72" spans="1:9" ht="12">
      <c r="A72" s="120"/>
      <c r="B72" s="120"/>
      <c r="I72" s="120"/>
    </row>
    <row r="73" spans="1:9" ht="12">
      <c r="A73" s="120"/>
      <c r="B73" s="120"/>
      <c r="I73" s="120"/>
    </row>
  </sheetData>
  <sheetProtection/>
  <mergeCells count="9">
    <mergeCell ref="A7:I7"/>
    <mergeCell ref="A45:I45"/>
    <mergeCell ref="G1:I1"/>
    <mergeCell ref="E4:E5"/>
    <mergeCell ref="F4:I4"/>
    <mergeCell ref="A4:A5"/>
    <mergeCell ref="B4:B5"/>
    <mergeCell ref="C4:C5"/>
    <mergeCell ref="D4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73" customWidth="1"/>
    <col min="2" max="2" width="6.421875" style="173" customWidth="1"/>
    <col min="3" max="3" width="8.421875" style="173" customWidth="1"/>
    <col min="4" max="4" width="8.57421875" style="173" customWidth="1"/>
    <col min="5" max="5" width="9.140625" style="173" customWidth="1"/>
    <col min="6" max="6" width="6.421875" style="173" customWidth="1"/>
    <col min="7" max="7" width="8.57421875" style="173" customWidth="1"/>
    <col min="8" max="8" width="8.8515625" style="173" customWidth="1"/>
    <col min="9" max="9" width="6.421875" style="173" customWidth="1"/>
    <col min="10" max="16384" width="9.140625" style="173" customWidth="1"/>
  </cols>
  <sheetData>
    <row r="1" spans="7:9" ht="15.75">
      <c r="G1" s="233" t="s">
        <v>148</v>
      </c>
      <c r="H1" s="233"/>
      <c r="I1" s="233"/>
    </row>
    <row r="2" spans="1:9" ht="15.75">
      <c r="A2" s="235" t="s">
        <v>109</v>
      </c>
      <c r="B2" s="235"/>
      <c r="C2" s="235"/>
      <c r="D2" s="235"/>
      <c r="E2" s="235"/>
      <c r="F2" s="235"/>
      <c r="G2" s="235"/>
      <c r="H2" s="235"/>
      <c r="I2" s="235"/>
    </row>
    <row r="3" spans="1:9" ht="15">
      <c r="A3" s="15"/>
      <c r="B3" s="15"/>
      <c r="C3" s="15"/>
      <c r="D3" s="15"/>
      <c r="E3" s="15"/>
      <c r="F3" s="15"/>
      <c r="G3" s="15"/>
      <c r="H3" s="15"/>
      <c r="I3" s="15"/>
    </row>
    <row r="4" spans="1:9" s="174" customFormat="1" ht="15" customHeight="1">
      <c r="A4" s="236" t="s">
        <v>1</v>
      </c>
      <c r="B4" s="234" t="s">
        <v>2</v>
      </c>
      <c r="C4" s="234" t="s">
        <v>261</v>
      </c>
      <c r="D4" s="237" t="s">
        <v>262</v>
      </c>
      <c r="E4" s="237" t="s">
        <v>263</v>
      </c>
      <c r="F4" s="234" t="s">
        <v>3</v>
      </c>
      <c r="G4" s="234"/>
      <c r="H4" s="234"/>
      <c r="I4" s="234"/>
    </row>
    <row r="5" spans="1:9" s="174" customFormat="1" ht="84" customHeight="1">
      <c r="A5" s="236"/>
      <c r="B5" s="234"/>
      <c r="C5" s="234"/>
      <c r="D5" s="237"/>
      <c r="E5" s="237"/>
      <c r="F5" s="42" t="s">
        <v>4</v>
      </c>
      <c r="G5" s="42" t="s">
        <v>5</v>
      </c>
      <c r="H5" s="42" t="s">
        <v>6</v>
      </c>
      <c r="I5" s="42" t="s">
        <v>7</v>
      </c>
    </row>
    <row r="6" spans="1:9" s="175" customFormat="1" ht="12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ht="42.75">
      <c r="A7" s="6" t="s">
        <v>110</v>
      </c>
      <c r="B7" s="19">
        <v>4000</v>
      </c>
      <c r="C7" s="176">
        <f aca="true" t="shared" si="0" ref="C7:I7">C8+C9+C10+C11+C12+C13</f>
        <v>738.9000000000001</v>
      </c>
      <c r="D7" s="12">
        <f t="shared" si="0"/>
        <v>1076</v>
      </c>
      <c r="E7" s="176">
        <f t="shared" si="0"/>
        <v>2222</v>
      </c>
      <c r="F7" s="12">
        <f t="shared" si="0"/>
        <v>0</v>
      </c>
      <c r="G7" s="12">
        <f t="shared" si="0"/>
        <v>1076</v>
      </c>
      <c r="H7" s="176">
        <f t="shared" si="0"/>
        <v>1146</v>
      </c>
      <c r="I7" s="12">
        <f t="shared" si="0"/>
        <v>0</v>
      </c>
    </row>
    <row r="8" spans="1:9" ht="15">
      <c r="A8" s="4" t="s">
        <v>111</v>
      </c>
      <c r="B8" s="20" t="s">
        <v>112</v>
      </c>
      <c r="C8" s="177"/>
      <c r="D8" s="7">
        <v>0</v>
      </c>
      <c r="E8" s="7">
        <v>0</v>
      </c>
      <c r="F8" s="7"/>
      <c r="G8" s="7"/>
      <c r="H8" s="7"/>
      <c r="I8" s="7"/>
    </row>
    <row r="9" spans="1:9" ht="30">
      <c r="A9" s="4" t="s">
        <v>113</v>
      </c>
      <c r="B9" s="19">
        <v>4020</v>
      </c>
      <c r="C9" s="177">
        <v>619.2</v>
      </c>
      <c r="D9" s="7">
        <f>ROUND((1026582+49320)/1000,0)</f>
        <v>1076</v>
      </c>
      <c r="E9" s="177">
        <f>ROUND((1026582+49320+1146227)/1000,0)</f>
        <v>2222</v>
      </c>
      <c r="F9" s="7"/>
      <c r="G9" s="177">
        <f>ROUND((1026582+49320)/1000,0)</f>
        <v>1076</v>
      </c>
      <c r="H9" s="177">
        <f>ROUND((1146227)/1000,0)</f>
        <v>1146</v>
      </c>
      <c r="I9" s="7"/>
    </row>
    <row r="10" spans="1:9" ht="45">
      <c r="A10" s="4" t="s">
        <v>114</v>
      </c>
      <c r="B10" s="20">
        <v>4030</v>
      </c>
      <c r="C10" s="177">
        <v>119.7</v>
      </c>
      <c r="D10" s="7">
        <v>0</v>
      </c>
      <c r="E10" s="7">
        <v>0</v>
      </c>
      <c r="F10" s="7"/>
      <c r="G10" s="7"/>
      <c r="H10" s="7"/>
      <c r="I10" s="7"/>
    </row>
    <row r="11" spans="1:9" ht="30">
      <c r="A11" s="4" t="s">
        <v>115</v>
      </c>
      <c r="B11" s="19">
        <v>4040</v>
      </c>
      <c r="C11" s="177"/>
      <c r="D11" s="7">
        <v>0</v>
      </c>
      <c r="E11" s="7">
        <v>0</v>
      </c>
      <c r="F11" s="7"/>
      <c r="G11" s="7"/>
      <c r="H11" s="7"/>
      <c r="I11" s="7"/>
    </row>
    <row r="12" spans="1:9" ht="60">
      <c r="A12" s="4" t="s">
        <v>116</v>
      </c>
      <c r="B12" s="20">
        <v>4050</v>
      </c>
      <c r="C12" s="177"/>
      <c r="D12" s="7">
        <v>0</v>
      </c>
      <c r="E12" s="7">
        <v>0</v>
      </c>
      <c r="F12" s="7"/>
      <c r="G12" s="7"/>
      <c r="H12" s="7"/>
      <c r="I12" s="7"/>
    </row>
    <row r="13" spans="1:9" ht="15">
      <c r="A13" s="4" t="s">
        <v>117</v>
      </c>
      <c r="B13" s="21">
        <v>4060</v>
      </c>
      <c r="C13" s="177"/>
      <c r="D13" s="7">
        <v>0</v>
      </c>
      <c r="E13" s="7">
        <v>0</v>
      </c>
      <c r="F13" s="7"/>
      <c r="G13" s="7"/>
      <c r="H13" s="7"/>
      <c r="I13" s="7"/>
    </row>
    <row r="16" spans="1:5" ht="14.25">
      <c r="A16" s="68" t="s">
        <v>266</v>
      </c>
      <c r="B16" s="69"/>
      <c r="C16" s="70"/>
      <c r="D16" s="71" t="s">
        <v>267</v>
      </c>
      <c r="E16" s="72"/>
    </row>
    <row r="17" spans="1:9" ht="15">
      <c r="A17" s="73"/>
      <c r="B17" s="13"/>
      <c r="C17" s="74"/>
      <c r="D17" s="75"/>
      <c r="E17" s="75"/>
      <c r="F17" s="14"/>
      <c r="G17" s="15"/>
      <c r="H17" s="15"/>
      <c r="I17" s="15"/>
    </row>
    <row r="18" spans="1:9" ht="15">
      <c r="A18" s="16"/>
      <c r="B18" s="15"/>
      <c r="C18" s="35"/>
      <c r="D18" s="35"/>
      <c r="E18" s="35"/>
      <c r="F18" s="17"/>
      <c r="G18" s="18"/>
      <c r="H18" s="18"/>
      <c r="I18" s="18"/>
    </row>
  </sheetData>
  <sheetProtection/>
  <mergeCells count="8">
    <mergeCell ref="G1:I1"/>
    <mergeCell ref="F4:I4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8.28125" style="0" customWidth="1"/>
    <col min="2" max="2" width="6.28125" style="45" customWidth="1"/>
    <col min="3" max="3" width="14.140625" style="118" customWidth="1"/>
    <col min="4" max="4" width="14.140625" style="206" customWidth="1"/>
    <col min="5" max="5" width="14.140625" style="118" customWidth="1"/>
  </cols>
  <sheetData>
    <row r="1" spans="1:5" ht="15.75">
      <c r="A1" s="36"/>
      <c r="B1" s="36"/>
      <c r="C1" s="36"/>
      <c r="E1" s="34" t="s">
        <v>149</v>
      </c>
    </row>
    <row r="2" spans="1:5" ht="15.75">
      <c r="A2" s="235" t="s">
        <v>150</v>
      </c>
      <c r="B2" s="235"/>
      <c r="C2" s="235"/>
      <c r="D2" s="235"/>
      <c r="E2" s="235"/>
    </row>
    <row r="3" spans="1:5" ht="15.75">
      <c r="A3" s="22"/>
      <c r="B3" s="48"/>
      <c r="C3" s="22"/>
      <c r="D3" s="1"/>
      <c r="E3" s="22"/>
    </row>
    <row r="4" spans="1:5" ht="74.25" customHeight="1">
      <c r="A4" s="49" t="s">
        <v>1</v>
      </c>
      <c r="B4" s="5" t="s">
        <v>2</v>
      </c>
      <c r="C4" s="5" t="s">
        <v>261</v>
      </c>
      <c r="D4" s="5" t="s">
        <v>262</v>
      </c>
      <c r="E4" s="5" t="s">
        <v>264</v>
      </c>
    </row>
    <row r="5" spans="1:5" ht="12.75" customHeight="1">
      <c r="A5" s="43">
        <v>1</v>
      </c>
      <c r="B5" s="44">
        <v>2</v>
      </c>
      <c r="C5" s="44">
        <v>3</v>
      </c>
      <c r="D5" s="44">
        <v>4</v>
      </c>
      <c r="E5" s="57"/>
    </row>
    <row r="6" spans="1:5" ht="75" customHeight="1">
      <c r="A6" s="39" t="s">
        <v>308</v>
      </c>
      <c r="B6" s="39">
        <v>5010</v>
      </c>
      <c r="C6" s="38">
        <f>C7+C8+C9</f>
        <v>35</v>
      </c>
      <c r="D6" s="85">
        <f>D7+D8+D9</f>
        <v>37</v>
      </c>
      <c r="E6" s="85">
        <f>E7+E8+E9</f>
        <v>37</v>
      </c>
    </row>
    <row r="7" spans="1:5" ht="15" customHeight="1">
      <c r="A7" s="40" t="s">
        <v>118</v>
      </c>
      <c r="B7" s="40">
        <v>5011</v>
      </c>
      <c r="C7" s="111">
        <v>1</v>
      </c>
      <c r="D7" s="86">
        <v>1</v>
      </c>
      <c r="E7" s="86">
        <v>1</v>
      </c>
    </row>
    <row r="8" spans="1:5" ht="30" customHeight="1">
      <c r="A8" s="40" t="s">
        <v>119</v>
      </c>
      <c r="B8" s="40">
        <v>5012</v>
      </c>
      <c r="C8" s="111">
        <v>7</v>
      </c>
      <c r="D8" s="86">
        <v>8</v>
      </c>
      <c r="E8" s="86">
        <v>8</v>
      </c>
    </row>
    <row r="9" spans="1:5" ht="15" customHeight="1">
      <c r="A9" s="40" t="s">
        <v>120</v>
      </c>
      <c r="B9" s="40">
        <v>5013</v>
      </c>
      <c r="C9" s="111">
        <v>27</v>
      </c>
      <c r="D9" s="86">
        <f>26+2</f>
        <v>28</v>
      </c>
      <c r="E9" s="86">
        <f>26+2</f>
        <v>28</v>
      </c>
    </row>
    <row r="10" spans="1:5" ht="29.25" customHeight="1">
      <c r="A10" s="39" t="s">
        <v>121</v>
      </c>
      <c r="B10" s="39">
        <v>5020</v>
      </c>
      <c r="C10" s="37">
        <f>C11+C12+C13</f>
        <v>5182.6</v>
      </c>
      <c r="D10" s="85">
        <f>D11+D12+D13</f>
        <v>6945</v>
      </c>
      <c r="E10" s="85">
        <f>E11+E12+E13</f>
        <v>6945</v>
      </c>
    </row>
    <row r="11" spans="1:5" ht="15" customHeight="1">
      <c r="A11" s="40" t="s">
        <v>118</v>
      </c>
      <c r="B11" s="40">
        <v>5021</v>
      </c>
      <c r="C11" s="112">
        <v>534</v>
      </c>
      <c r="D11" s="23">
        <v>454</v>
      </c>
      <c r="E11" s="23">
        <v>454</v>
      </c>
    </row>
    <row r="12" spans="1:5" ht="30" customHeight="1">
      <c r="A12" s="40" t="s">
        <v>119</v>
      </c>
      <c r="B12" s="40">
        <v>5022</v>
      </c>
      <c r="C12" s="112">
        <f>1729-195</f>
        <v>1534</v>
      </c>
      <c r="D12" s="23">
        <v>2131</v>
      </c>
      <c r="E12" s="23">
        <v>2131</v>
      </c>
    </row>
    <row r="13" spans="1:5" ht="15" customHeight="1">
      <c r="A13" s="40" t="s">
        <v>120</v>
      </c>
      <c r="B13" s="40">
        <v>5023</v>
      </c>
      <c r="C13" s="112">
        <v>3114.6</v>
      </c>
      <c r="D13" s="23">
        <f>4057+111+144+48</f>
        <v>4360</v>
      </c>
      <c r="E13" s="23">
        <f>4057+111+144+48</f>
        <v>4360</v>
      </c>
    </row>
    <row r="14" spans="1:5" ht="45" customHeight="1">
      <c r="A14" s="39" t="s">
        <v>147</v>
      </c>
      <c r="B14" s="39">
        <v>5030</v>
      </c>
      <c r="C14" s="113">
        <f>C10/C6/12*1000</f>
        <v>12339.523809523811</v>
      </c>
      <c r="D14" s="85">
        <f>D10/D6/12*1000</f>
        <v>15641.891891891893</v>
      </c>
      <c r="E14" s="85">
        <f>E10/E6/12*1000</f>
        <v>15641.891891891893</v>
      </c>
    </row>
    <row r="15" spans="1:5" ht="15" customHeight="1">
      <c r="A15" s="40" t="s">
        <v>118</v>
      </c>
      <c r="B15" s="40">
        <v>5031</v>
      </c>
      <c r="C15" s="110">
        <f>C11/C7/12*1000</f>
        <v>44500</v>
      </c>
      <c r="D15" s="86">
        <f aca="true" t="shared" si="0" ref="D15:E17">ROUND(D11/D7/12*1000,0)</f>
        <v>37833</v>
      </c>
      <c r="E15" s="86">
        <f t="shared" si="0"/>
        <v>37833</v>
      </c>
    </row>
    <row r="16" spans="1:5" ht="30" customHeight="1">
      <c r="A16" s="40" t="s">
        <v>119</v>
      </c>
      <c r="B16" s="40">
        <v>5032</v>
      </c>
      <c r="C16" s="110">
        <f>C12/C8/12*1000</f>
        <v>18261.904761904763</v>
      </c>
      <c r="D16" s="86">
        <f t="shared" si="0"/>
        <v>22198</v>
      </c>
      <c r="E16" s="86">
        <f t="shared" si="0"/>
        <v>22198</v>
      </c>
    </row>
    <row r="17" spans="1:5" ht="15" customHeight="1">
      <c r="A17" s="40" t="s">
        <v>120</v>
      </c>
      <c r="B17" s="40">
        <v>5033</v>
      </c>
      <c r="C17" s="110">
        <f>C13/C9/12*1000</f>
        <v>9612.962962962962</v>
      </c>
      <c r="D17" s="86">
        <f t="shared" si="0"/>
        <v>12976</v>
      </c>
      <c r="E17" s="86">
        <f t="shared" si="0"/>
        <v>12976</v>
      </c>
    </row>
    <row r="18" spans="1:5" ht="30" customHeight="1">
      <c r="A18" s="39" t="s">
        <v>122</v>
      </c>
      <c r="B18" s="39">
        <v>5040</v>
      </c>
      <c r="C18" s="114">
        <v>6239.5</v>
      </c>
      <c r="D18" s="38">
        <f>D19+D20+D21</f>
        <v>8473</v>
      </c>
      <c r="E18" s="85">
        <f>E19+E20+E21</f>
        <v>8473</v>
      </c>
    </row>
    <row r="19" spans="1:5" ht="15" customHeight="1">
      <c r="A19" s="40" t="s">
        <v>118</v>
      </c>
      <c r="B19" s="40">
        <v>5041</v>
      </c>
      <c r="C19" s="112">
        <f>C11*1.0841</f>
        <v>578.9094</v>
      </c>
      <c r="D19" s="86">
        <f aca="true" t="shared" si="1" ref="D19:E21">ROUND(D11*1.22,0)</f>
        <v>554</v>
      </c>
      <c r="E19" s="86">
        <f t="shared" si="1"/>
        <v>554</v>
      </c>
    </row>
    <row r="20" spans="1:5" ht="30" customHeight="1">
      <c r="A20" s="40" t="s">
        <v>119</v>
      </c>
      <c r="B20" s="40">
        <v>5042</v>
      </c>
      <c r="C20" s="112">
        <f>C12*1.22</f>
        <v>1871.48</v>
      </c>
      <c r="D20" s="86">
        <f t="shared" si="1"/>
        <v>2600</v>
      </c>
      <c r="E20" s="86">
        <f>ROUND(E12*1.22,0)</f>
        <v>2600</v>
      </c>
    </row>
    <row r="21" spans="1:5" ht="15" customHeight="1">
      <c r="A21" s="40" t="s">
        <v>120</v>
      </c>
      <c r="B21" s="40">
        <v>5043</v>
      </c>
      <c r="C21" s="112">
        <v>3789.1</v>
      </c>
      <c r="D21" s="86">
        <f t="shared" si="1"/>
        <v>5319</v>
      </c>
      <c r="E21" s="86">
        <f>ROUND(E13*1.22,0)</f>
        <v>5319</v>
      </c>
    </row>
    <row r="22" spans="1:5" ht="45" customHeight="1">
      <c r="A22" s="39" t="s">
        <v>123</v>
      </c>
      <c r="B22" s="39">
        <v>5050</v>
      </c>
      <c r="C22" s="115">
        <v>14855.9</v>
      </c>
      <c r="D22" s="85">
        <f>D18/D6/12*1000</f>
        <v>19083.333333333332</v>
      </c>
      <c r="E22" s="85">
        <f>E18/E6/12*1000</f>
        <v>19083.333333333332</v>
      </c>
    </row>
    <row r="23" spans="1:5" ht="15" customHeight="1">
      <c r="A23" s="40" t="s">
        <v>118</v>
      </c>
      <c r="B23" s="40">
        <v>5051</v>
      </c>
      <c r="C23" s="116">
        <f>C19/C7/12*1000</f>
        <v>48242.45</v>
      </c>
      <c r="D23" s="86">
        <f aca="true" t="shared" si="2" ref="D23:E25">ROUND(D19/D7/12*1000,0)</f>
        <v>46167</v>
      </c>
      <c r="E23" s="86">
        <f t="shared" si="2"/>
        <v>46167</v>
      </c>
    </row>
    <row r="24" spans="1:5" ht="30" customHeight="1">
      <c r="A24" s="40" t="s">
        <v>119</v>
      </c>
      <c r="B24" s="40">
        <v>5052</v>
      </c>
      <c r="C24" s="116">
        <f>C20/C8/12*1000</f>
        <v>22279.52380952381</v>
      </c>
      <c r="D24" s="86">
        <f t="shared" si="2"/>
        <v>27083</v>
      </c>
      <c r="E24" s="86">
        <f t="shared" si="2"/>
        <v>27083</v>
      </c>
    </row>
    <row r="25" spans="1:5" ht="15" customHeight="1">
      <c r="A25" s="40" t="s">
        <v>120</v>
      </c>
      <c r="B25" s="40">
        <v>5053</v>
      </c>
      <c r="C25" s="116">
        <f>C21/C9/12*1000</f>
        <v>11694.753086419752</v>
      </c>
      <c r="D25" s="86">
        <f t="shared" si="2"/>
        <v>15830</v>
      </c>
      <c r="E25" s="86">
        <f t="shared" si="2"/>
        <v>15830</v>
      </c>
    </row>
    <row r="28" spans="1:5" ht="12.75">
      <c r="A28" s="68" t="s">
        <v>266</v>
      </c>
      <c r="B28" s="69"/>
      <c r="C28" s="70"/>
      <c r="D28" s="87" t="s">
        <v>267</v>
      </c>
      <c r="E28" s="72"/>
    </row>
    <row r="29" spans="1:5" ht="12.75">
      <c r="A29" s="77"/>
      <c r="B29" s="78"/>
      <c r="C29" s="117"/>
      <c r="E29" s="117"/>
    </row>
    <row r="30" spans="1:5" ht="15" customHeight="1">
      <c r="A30" s="73"/>
      <c r="B30" s="16"/>
      <c r="C30" s="74"/>
      <c r="D30" s="35"/>
      <c r="E30" s="35"/>
    </row>
    <row r="31" spans="1:5" ht="15">
      <c r="A31" s="16"/>
      <c r="B31" s="16"/>
      <c r="C31" s="35"/>
      <c r="D31" s="18"/>
      <c r="E31" s="18"/>
    </row>
  </sheetData>
  <sheetProtection/>
  <mergeCells count="1">
    <mergeCell ref="A2:E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7.28125" style="0" customWidth="1"/>
    <col min="2" max="2" width="6.7109375" style="0" customWidth="1"/>
    <col min="5" max="5" width="9.421875" style="0" customWidth="1"/>
    <col min="6" max="9" width="6.28125" style="0" customWidth="1"/>
  </cols>
  <sheetData>
    <row r="1" spans="1:9" s="2" customFormat="1" ht="15.75">
      <c r="A1" s="46"/>
      <c r="B1" s="47"/>
      <c r="C1" s="47"/>
      <c r="D1" s="47"/>
      <c r="E1" s="47"/>
      <c r="F1" s="47"/>
      <c r="G1" s="47"/>
      <c r="H1" s="244" t="s">
        <v>160</v>
      </c>
      <c r="I1" s="244"/>
    </row>
    <row r="2" spans="1:9" s="2" customFormat="1" ht="36" customHeight="1">
      <c r="A2" s="245" t="s">
        <v>161</v>
      </c>
      <c r="B2" s="245"/>
      <c r="C2" s="245"/>
      <c r="D2" s="245"/>
      <c r="E2" s="245"/>
      <c r="F2" s="245"/>
      <c r="G2" s="245"/>
      <c r="H2" s="245"/>
      <c r="I2" s="245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246" t="s">
        <v>1</v>
      </c>
      <c r="B4" s="247" t="s">
        <v>2</v>
      </c>
      <c r="C4" s="234" t="s">
        <v>261</v>
      </c>
      <c r="D4" s="237" t="s">
        <v>262</v>
      </c>
      <c r="E4" s="237" t="s">
        <v>264</v>
      </c>
      <c r="F4" s="247" t="s">
        <v>3</v>
      </c>
      <c r="G4" s="247"/>
      <c r="H4" s="247"/>
      <c r="I4" s="247"/>
    </row>
    <row r="5" spans="1:9" s="2" customFormat="1" ht="70.5" customHeight="1">
      <c r="A5" s="246"/>
      <c r="B5" s="247"/>
      <c r="C5" s="234"/>
      <c r="D5" s="237"/>
      <c r="E5" s="237"/>
      <c r="F5" s="50" t="s">
        <v>4</v>
      </c>
      <c r="G5" s="50" t="s">
        <v>5</v>
      </c>
      <c r="H5" s="50" t="s">
        <v>6</v>
      </c>
      <c r="I5" s="50" t="s">
        <v>7</v>
      </c>
    </row>
    <row r="6" spans="1:9" s="10" customFormat="1" ht="12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s="2" customFormat="1" ht="15">
      <c r="A7" s="238" t="s">
        <v>162</v>
      </c>
      <c r="B7" s="239"/>
      <c r="C7" s="239"/>
      <c r="D7" s="239"/>
      <c r="E7" s="239"/>
      <c r="F7" s="239"/>
      <c r="G7" s="239"/>
      <c r="H7" s="239"/>
      <c r="I7" s="240"/>
    </row>
    <row r="8" spans="1:9" ht="30">
      <c r="A8" s="51" t="s">
        <v>163</v>
      </c>
      <c r="B8" s="52">
        <v>6000</v>
      </c>
      <c r="C8" s="53">
        <v>0</v>
      </c>
      <c r="D8" s="53">
        <v>0</v>
      </c>
      <c r="E8" s="53">
        <v>0</v>
      </c>
      <c r="F8" s="53"/>
      <c r="G8" s="53"/>
      <c r="H8" s="53"/>
      <c r="I8" s="53"/>
    </row>
    <row r="9" spans="1:9" ht="14.25">
      <c r="A9" s="241" t="s">
        <v>164</v>
      </c>
      <c r="B9" s="242"/>
      <c r="C9" s="242"/>
      <c r="D9" s="242"/>
      <c r="E9" s="242"/>
      <c r="F9" s="242"/>
      <c r="G9" s="242"/>
      <c r="H9" s="242"/>
      <c r="I9" s="243"/>
    </row>
    <row r="10" spans="1:9" ht="45">
      <c r="A10" s="51" t="s">
        <v>265</v>
      </c>
      <c r="B10" s="52">
        <v>6010</v>
      </c>
      <c r="C10" s="54">
        <v>0</v>
      </c>
      <c r="D10" s="54">
        <v>0</v>
      </c>
      <c r="E10" s="55">
        <v>0</v>
      </c>
      <c r="F10" s="54"/>
      <c r="G10" s="54"/>
      <c r="H10" s="54"/>
      <c r="I10" s="54"/>
    </row>
    <row r="11" spans="1:9" ht="45">
      <c r="A11" s="51" t="s">
        <v>165</v>
      </c>
      <c r="B11" s="56">
        <v>6020</v>
      </c>
      <c r="C11" s="54">
        <v>0</v>
      </c>
      <c r="D11" s="54">
        <v>0</v>
      </c>
      <c r="E11" s="55">
        <v>0</v>
      </c>
      <c r="F11" s="54"/>
      <c r="G11" s="54"/>
      <c r="H11" s="54"/>
      <c r="I11" s="54"/>
    </row>
    <row r="12" spans="1:9" ht="15">
      <c r="A12" s="58" t="s">
        <v>166</v>
      </c>
      <c r="B12" s="58"/>
      <c r="C12" s="58">
        <v>0</v>
      </c>
      <c r="D12" s="58">
        <v>0</v>
      </c>
      <c r="E12" s="58">
        <v>0</v>
      </c>
      <c r="F12" s="58"/>
      <c r="G12" s="58"/>
      <c r="H12" s="59"/>
      <c r="I12" s="59"/>
    </row>
    <row r="13" spans="1:9" ht="15">
      <c r="A13" s="60"/>
      <c r="B13" s="60"/>
      <c r="C13" s="60"/>
      <c r="D13" s="60"/>
      <c r="E13" s="60"/>
      <c r="F13" s="60"/>
      <c r="G13" s="60"/>
      <c r="H13" s="61"/>
      <c r="I13" s="61"/>
    </row>
    <row r="14" spans="1:9" ht="15">
      <c r="A14" s="60"/>
      <c r="B14" s="60"/>
      <c r="C14" s="60"/>
      <c r="D14" s="60"/>
      <c r="E14" s="60"/>
      <c r="F14" s="60"/>
      <c r="G14" s="60"/>
      <c r="H14" s="61"/>
      <c r="I14" s="61"/>
    </row>
    <row r="15" spans="1:9" ht="12.75">
      <c r="A15" s="68" t="s">
        <v>266</v>
      </c>
      <c r="B15" s="69"/>
      <c r="C15" s="70"/>
      <c r="D15" s="71" t="s">
        <v>267</v>
      </c>
      <c r="E15" s="72"/>
      <c r="H15" s="61"/>
      <c r="I15" s="61"/>
    </row>
    <row r="17" spans="1:10" s="11" customFormat="1" ht="15">
      <c r="A17" s="73"/>
      <c r="B17" s="13"/>
      <c r="C17" s="74"/>
      <c r="D17" s="75"/>
      <c r="E17" s="75"/>
      <c r="F17" s="35"/>
      <c r="G17" s="35"/>
      <c r="H17" s="35"/>
      <c r="I17" s="35"/>
      <c r="J17" s="76"/>
    </row>
    <row r="18" spans="1:10" s="11" customFormat="1" ht="15">
      <c r="A18" s="16"/>
      <c r="B18" s="15"/>
      <c r="C18" s="35"/>
      <c r="D18" s="35"/>
      <c r="E18" s="35"/>
      <c r="F18" s="18"/>
      <c r="G18" s="18"/>
      <c r="H18" s="18"/>
      <c r="I18" s="18"/>
      <c r="J18" s="76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</sheetData>
  <sheetProtection/>
  <mergeCells count="10">
    <mergeCell ref="A7:I7"/>
    <mergeCell ref="A9:I9"/>
    <mergeCell ref="H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2024-07-04T07:15:00Z</cp:lastPrinted>
  <dcterms:created xsi:type="dcterms:W3CDTF">1996-10-08T23:32:33Z</dcterms:created>
  <dcterms:modified xsi:type="dcterms:W3CDTF">2024-07-04T07:15:03Z</dcterms:modified>
  <cp:category/>
  <cp:version/>
  <cp:contentType/>
  <cp:contentStatus/>
</cp:coreProperties>
</file>